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9"/>
  <workbookPr/>
  <mc:AlternateContent xmlns:mc="http://schemas.openxmlformats.org/markup-compatibility/2006">
    <mc:Choice Requires="x15">
      <x15ac:absPath xmlns:x15ac="http://schemas.microsoft.com/office/spreadsheetml/2010/11/ac" url="/Volumes/USB DISK/"/>
    </mc:Choice>
  </mc:AlternateContent>
  <xr:revisionPtr revIDLastSave="0" documentId="8_{37C316B0-DD32-8043-8B16-34D7C9E5EC09}" xr6:coauthVersionLast="37" xr6:coauthVersionMax="37" xr10:uidLastSave="{00000000-0000-0000-0000-000000000000}"/>
  <bookViews>
    <workbookView xWindow="0" yWindow="500" windowWidth="28800" windowHeight="16440" xr2:uid="{00000000-000D-0000-FFFF-FFFF00000000}"/>
  </bookViews>
  <sheets>
    <sheet name="SMGR 24-25" sheetId="1" r:id="rId1"/>
    <sheet name="SMGR 25-26" sheetId="2" r:id="rId2"/>
    <sheet name="SMGR 26-27" sheetId="3" r:id="rId3"/>
    <sheet name="GRAF.PRESIDENCIA 24-25" sheetId="4" r:id="rId4"/>
    <sheet name="GRAF.PRESIDENCIA 25-26" sheetId="5" r:id="rId5"/>
    <sheet name="GRAF.PRESIDENCIA 26-27" sheetId="6" r:id="rId6"/>
    <sheet name="PRESIDENCIA 24-25" sheetId="7" r:id="rId7"/>
    <sheet name="PRESIDENCIA 25-26" sheetId="8" r:id="rId8"/>
    <sheet name="PRESIDENCIA 26-27" sheetId="9" r:id="rId9"/>
    <sheet name="EXT" sheetId="10" state="hidden" r:id="rId10"/>
    <sheet name="01" sheetId="11" r:id="rId11"/>
    <sheet name="02" sheetId="12" r:id="rId12"/>
    <sheet name="03" sheetId="13" r:id="rId13"/>
    <sheet name="BD PRESIDENCIA" sheetId="14" r:id="rId14"/>
    <sheet name="SIN1PERIODO" sheetId="15" r:id="rId15"/>
    <sheet name="SIN2PERIODO" sheetId="16" r:id="rId16"/>
    <sheet name="SECGEN1PERIODO" sheetId="17" r:id="rId17"/>
    <sheet name="SECGEN2PERIODO" sheetId="18" r:id="rId18"/>
    <sheet name="GAB1PERIODO" sheetId="19" r:id="rId19"/>
    <sheet name="GAB2PERIODO" sheetId="20" r:id="rId20"/>
    <sheet name="TESORERIA1PERIODO" sheetId="21" r:id="rId21"/>
    <sheet name="TESORERIA2PERIODO" sheetId="22" r:id="rId22"/>
    <sheet name="1PERIODOCONTRALORIA" sheetId="23" r:id="rId23"/>
    <sheet name="2PERIODOCONTRALORIA" sheetId="24" r:id="rId24"/>
    <sheet name="1ER PERIODOADMINISTRACION" sheetId="25" r:id="rId25"/>
    <sheet name="2ER PERIODOADMINISTRACION" sheetId="26" r:id="rId26"/>
    <sheet name="1ER PERIODO DESARROLLO ECONOMIC" sheetId="27" r:id="rId27"/>
    <sheet name="2DODESECO" sheetId="28" r:id="rId28"/>
    <sheet name="1ER PERIODO CONSTRUCCION DE LA " sheetId="29" r:id="rId29"/>
    <sheet name="2ER PERIODO CONSTRUCCION DE LA " sheetId="30" r:id="rId30"/>
    <sheet name="1ERA SERVICIOS GENERALES" sheetId="31" r:id="rId31"/>
    <sheet name="2ERA SERVICIOS GENERALES" sheetId="32" r:id="rId32"/>
    <sheet name="1RA SEGURIDAD PUBLICA" sheetId="33" r:id="rId33"/>
    <sheet name="2RA SEGURIDAD PUBLICA" sheetId="34" r:id="rId34"/>
    <sheet name="1RA GESTION DE LA CIUDAD" sheetId="35" r:id="rId35"/>
    <sheet name="2RA GESTION DE LA CIUDAD" sheetId="36" r:id="rId36"/>
    <sheet name="1RA PROTECCION CIVIL" sheetId="37" r:id="rId37"/>
    <sheet name="2RA PROTECCION CIVIL" sheetId="38" r:id="rId38"/>
    <sheet name="EXT (1)" sheetId="39" state="hidden" r:id="rId39"/>
  </sheets>
  <definedNames>
    <definedName name="ACLARACIONES">#REF!</definedName>
    <definedName name="ACUERDOSPRESIDENCIA">'BD PRESIDENCIA'!$H:$H</definedName>
    <definedName name="_xlnm.Print_Area" localSheetId="0">'SMGR 24-25'!$A$1:$Q$401</definedName>
    <definedName name="CAPACITACIONESPRESIDENCIA">'BD PRESIDENCIA'!$J:$J</definedName>
    <definedName name="CITASPRESIDENCIA">'BD PRESIDENCIA'!$E:$E</definedName>
    <definedName name="CONSTANCIAS">#REF!</definedName>
    <definedName name="DEPARTAMENTOPRESIDENCIA">'BD PRESIDENCIA'!$D:$D</definedName>
    <definedName name="DISEÑOSPRESIDENCIA">'BD PRESIDENCIA'!$L:$L</definedName>
    <definedName name="EXPEDICIONESACT">#REF!</definedName>
    <definedName name="MATRIMONIOS">#REF!</definedName>
    <definedName name="MESAREPORTARPRESIDENCIA">'BD PRESIDENCIA'!$C:$C</definedName>
    <definedName name="NOTASPRESIDENCIA">'BD PRESIDENCIA'!$K:$K</definedName>
    <definedName name="PERIODOPRESIDENCIA">'BD PRESIDENCIA'!$B:$B</definedName>
    <definedName name="PERPRESIDENCIA">'BD PRESIDENCIA'!$B:$B</definedName>
    <definedName name="PERSONASATENDIDASPRESIDENCIA">'BD PRESIDENCIA'!$F:$F</definedName>
    <definedName name="PERSONASBENEFICIADASPRESIDENCIA">'BD PRESIDENCIA'!$O:$O</definedName>
    <definedName name="PERSONASPRESIDENCIA">'BD PRESIDENCIA'!$G:$G</definedName>
    <definedName name="PROCADMIN">#REF!</definedName>
    <definedName name="PROGRAMASIMPLEMENTADOSPRESIDENCIA">'BD PRESIDENCIA'!$N:$N</definedName>
    <definedName name="PRSADMITERMINADOS">#REF!</definedName>
    <definedName name="PUBLICACIONESPRESIDENCIA">'BD PRESIDENCIA'!$M:$M</definedName>
    <definedName name="SEGREPORTGAB">#REF!</definedName>
    <definedName name="SOLICITUDESPRESIDENCIA">'BD PRESIDENCIA'!$I:$I</definedName>
  </definedNames>
  <calcPr calcId="179021"/>
  <extLst>
    <ext uri="GoogleSheetsCustomDataVersion2">
      <go:sheetsCustomData xmlns:go="http://customooxmlschemas.google.com/" r:id="rId43" roundtripDataChecksum="YjFRi4otwKoDygI9H7pv4UKes15Oo3kp9fKFiLJtJKA="/>
    </ext>
  </extLst>
</workbook>
</file>

<file path=xl/calcChain.xml><?xml version="1.0" encoding="utf-8"?>
<calcChain xmlns="http://schemas.openxmlformats.org/spreadsheetml/2006/main">
  <c r="S26" i="38" l="1"/>
  <c r="R26" i="38"/>
  <c r="Q26" i="38"/>
  <c r="P26" i="38"/>
  <c r="R401" i="2" s="1"/>
  <c r="O26" i="38"/>
  <c r="N26" i="38"/>
  <c r="M26" i="38"/>
  <c r="L26" i="38"/>
  <c r="N401" i="2" s="1"/>
  <c r="K26" i="38"/>
  <c r="J26" i="38"/>
  <c r="I26" i="38"/>
  <c r="H26" i="38"/>
  <c r="J401" i="2" s="1"/>
  <c r="G26" i="38"/>
  <c r="F26" i="38"/>
  <c r="E26" i="38"/>
  <c r="D26" i="38"/>
  <c r="C26" i="38"/>
  <c r="B26" i="38"/>
  <c r="A26" i="38"/>
  <c r="S25" i="38"/>
  <c r="U400" i="2" s="1"/>
  <c r="R25" i="38"/>
  <c r="Q25" i="38"/>
  <c r="P25" i="38"/>
  <c r="O25" i="38"/>
  <c r="Q400" i="2" s="1"/>
  <c r="N25" i="38"/>
  <c r="M25" i="38"/>
  <c r="L25" i="38"/>
  <c r="K25" i="38"/>
  <c r="M400" i="2" s="1"/>
  <c r="J25" i="38"/>
  <c r="I25" i="38"/>
  <c r="H25" i="38"/>
  <c r="G25" i="38"/>
  <c r="I400" i="2" s="1"/>
  <c r="F25" i="38"/>
  <c r="E25" i="38"/>
  <c r="D25" i="38"/>
  <c r="C25" i="38"/>
  <c r="B25" i="38"/>
  <c r="A25" i="38"/>
  <c r="S24" i="38"/>
  <c r="R24" i="38"/>
  <c r="T399" i="2" s="1"/>
  <c r="Q24" i="38"/>
  <c r="P24" i="38"/>
  <c r="O24" i="38"/>
  <c r="N24" i="38"/>
  <c r="P399" i="2" s="1"/>
  <c r="M24" i="38"/>
  <c r="L24" i="38"/>
  <c r="K24" i="38"/>
  <c r="J24" i="38"/>
  <c r="L399" i="2" s="1"/>
  <c r="I24" i="38"/>
  <c r="H24" i="38"/>
  <c r="G24" i="38"/>
  <c r="F24" i="38"/>
  <c r="H399" i="2" s="1"/>
  <c r="E24" i="38"/>
  <c r="D24" i="38"/>
  <c r="C24" i="38"/>
  <c r="B24" i="38"/>
  <c r="A24" i="38"/>
  <c r="S23" i="38"/>
  <c r="R23" i="38"/>
  <c r="Q23" i="38"/>
  <c r="S398" i="2" s="1"/>
  <c r="P23" i="38"/>
  <c r="O23" i="38"/>
  <c r="N23" i="38"/>
  <c r="M23" i="38"/>
  <c r="O398" i="2" s="1"/>
  <c r="L23" i="38"/>
  <c r="K23" i="38"/>
  <c r="J23" i="38"/>
  <c r="I23" i="38"/>
  <c r="K398" i="2" s="1"/>
  <c r="H23" i="38"/>
  <c r="G23" i="38"/>
  <c r="F23" i="38"/>
  <c r="E23" i="38"/>
  <c r="D23" i="38"/>
  <c r="C23" i="38"/>
  <c r="B23" i="38"/>
  <c r="A23" i="38"/>
  <c r="S22" i="38"/>
  <c r="R22" i="38"/>
  <c r="Q22" i="38"/>
  <c r="P22" i="38"/>
  <c r="R397" i="2" s="1"/>
  <c r="O22" i="38"/>
  <c r="N22" i="38"/>
  <c r="M22" i="38"/>
  <c r="L22" i="38"/>
  <c r="N397" i="2" s="1"/>
  <c r="K22" i="38"/>
  <c r="J22" i="38"/>
  <c r="I22" i="38"/>
  <c r="H22" i="38"/>
  <c r="J397" i="2" s="1"/>
  <c r="G22" i="38"/>
  <c r="F22" i="38"/>
  <c r="E22" i="38"/>
  <c r="D22" i="38"/>
  <c r="C22" i="38"/>
  <c r="B22" i="38"/>
  <c r="A22" i="38"/>
  <c r="S21" i="38"/>
  <c r="U396" i="2" s="1"/>
  <c r="R21" i="38"/>
  <c r="Q21" i="38"/>
  <c r="P21" i="38"/>
  <c r="O21" i="38"/>
  <c r="Q396" i="2" s="1"/>
  <c r="N21" i="38"/>
  <c r="M21" i="38"/>
  <c r="L21" i="38"/>
  <c r="K21" i="38"/>
  <c r="M396" i="2" s="1"/>
  <c r="J21" i="38"/>
  <c r="I21" i="38"/>
  <c r="H21" i="38"/>
  <c r="G21" i="38"/>
  <c r="I396" i="2" s="1"/>
  <c r="F21" i="38"/>
  <c r="E21" i="38"/>
  <c r="D21" i="38"/>
  <c r="C21" i="38"/>
  <c r="B21" i="38"/>
  <c r="A21" i="38"/>
  <c r="S20" i="38"/>
  <c r="R20" i="38"/>
  <c r="T395" i="2" s="1"/>
  <c r="Q20" i="38"/>
  <c r="P20" i="38"/>
  <c r="O20" i="38"/>
  <c r="N20" i="38"/>
  <c r="P395" i="2" s="1"/>
  <c r="M20" i="38"/>
  <c r="L20" i="38"/>
  <c r="K20" i="38"/>
  <c r="J20" i="38"/>
  <c r="L395" i="2" s="1"/>
  <c r="I20" i="38"/>
  <c r="H20" i="38"/>
  <c r="G20" i="38"/>
  <c r="F20" i="38"/>
  <c r="H395" i="2" s="1"/>
  <c r="E20" i="38"/>
  <c r="D20" i="38"/>
  <c r="C20" i="38"/>
  <c r="B20" i="38"/>
  <c r="A20" i="38"/>
  <c r="S19" i="38"/>
  <c r="R19" i="38"/>
  <c r="Q19" i="38"/>
  <c r="S394" i="2" s="1"/>
  <c r="P19" i="38"/>
  <c r="O19" i="38"/>
  <c r="N19" i="38"/>
  <c r="M19" i="38"/>
  <c r="O394" i="2" s="1"/>
  <c r="L19" i="38"/>
  <c r="K19" i="38"/>
  <c r="J19" i="38"/>
  <c r="I19" i="38"/>
  <c r="K394" i="2" s="1"/>
  <c r="H19" i="38"/>
  <c r="G19" i="38"/>
  <c r="F19" i="38"/>
  <c r="E19" i="38"/>
  <c r="D19" i="38"/>
  <c r="C19" i="38"/>
  <c r="B19" i="38"/>
  <c r="A19" i="38"/>
  <c r="S18" i="38"/>
  <c r="R18" i="38"/>
  <c r="Q18" i="38"/>
  <c r="P18" i="38"/>
  <c r="R393" i="2" s="1"/>
  <c r="O18" i="38"/>
  <c r="N18" i="38"/>
  <c r="M18" i="38"/>
  <c r="L18" i="38"/>
  <c r="N393" i="2" s="1"/>
  <c r="K18" i="38"/>
  <c r="J18" i="38"/>
  <c r="I18" i="38"/>
  <c r="H18" i="38"/>
  <c r="J393" i="2" s="1"/>
  <c r="G18" i="38"/>
  <c r="F18" i="38"/>
  <c r="E18" i="38"/>
  <c r="D18" i="38"/>
  <c r="C18" i="38"/>
  <c r="B18" i="38"/>
  <c r="A18" i="38"/>
  <c r="S17" i="38"/>
  <c r="U392" i="2" s="1"/>
  <c r="R17" i="38"/>
  <c r="Q17" i="38"/>
  <c r="P17" i="38"/>
  <c r="O17" i="38"/>
  <c r="Q392" i="2" s="1"/>
  <c r="N17" i="38"/>
  <c r="M17" i="38"/>
  <c r="L17" i="38"/>
  <c r="K17" i="38"/>
  <c r="M392" i="2" s="1"/>
  <c r="J17" i="38"/>
  <c r="I17" i="38"/>
  <c r="H17" i="38"/>
  <c r="G17" i="38"/>
  <c r="I392" i="2" s="1"/>
  <c r="F17" i="38"/>
  <c r="E17" i="38"/>
  <c r="D17" i="38"/>
  <c r="C17" i="38"/>
  <c r="B17" i="38"/>
  <c r="A17" i="38"/>
  <c r="S16" i="38"/>
  <c r="R16" i="38"/>
  <c r="T391" i="2" s="1"/>
  <c r="Q16" i="38"/>
  <c r="P16" i="38"/>
  <c r="O16" i="38"/>
  <c r="N16" i="38"/>
  <c r="P391" i="2" s="1"/>
  <c r="M16" i="38"/>
  <c r="L16" i="38"/>
  <c r="K16" i="38"/>
  <c r="J16" i="38"/>
  <c r="L391" i="2" s="1"/>
  <c r="I16" i="38"/>
  <c r="H16" i="38"/>
  <c r="G16" i="38"/>
  <c r="F16" i="38"/>
  <c r="H391" i="2" s="1"/>
  <c r="E16" i="38"/>
  <c r="D16" i="38"/>
  <c r="C16" i="38"/>
  <c r="B16" i="38"/>
  <c r="A16" i="38"/>
  <c r="S15" i="38"/>
  <c r="R15" i="38"/>
  <c r="Q15" i="38"/>
  <c r="S390" i="2" s="1"/>
  <c r="P15" i="38"/>
  <c r="O15" i="38"/>
  <c r="N15" i="38"/>
  <c r="M15" i="38"/>
  <c r="O390" i="2" s="1"/>
  <c r="L15" i="38"/>
  <c r="K15" i="38"/>
  <c r="J15" i="38"/>
  <c r="I15" i="38"/>
  <c r="K390" i="2" s="1"/>
  <c r="H15" i="38"/>
  <c r="G15" i="38"/>
  <c r="F15" i="38"/>
  <c r="E15" i="38"/>
  <c r="D15" i="38"/>
  <c r="C15" i="38"/>
  <c r="B15" i="38"/>
  <c r="A15" i="38"/>
  <c r="S14" i="38"/>
  <c r="R14" i="38"/>
  <c r="Q14" i="38"/>
  <c r="P14" i="38"/>
  <c r="R389" i="2" s="1"/>
  <c r="O14" i="38"/>
  <c r="N14" i="38"/>
  <c r="M14" i="38"/>
  <c r="L14" i="38"/>
  <c r="N389" i="2" s="1"/>
  <c r="K14" i="38"/>
  <c r="J14" i="38"/>
  <c r="I14" i="38"/>
  <c r="H14" i="38"/>
  <c r="J389" i="2" s="1"/>
  <c r="G14" i="38"/>
  <c r="F14" i="38"/>
  <c r="E14" i="38"/>
  <c r="D14" i="38"/>
  <c r="C14" i="38"/>
  <c r="B14" i="38"/>
  <c r="A14" i="38"/>
  <c r="S13" i="38"/>
  <c r="U388" i="2" s="1"/>
  <c r="R13" i="38"/>
  <c r="Q13" i="38"/>
  <c r="P13" i="38"/>
  <c r="O13" i="38"/>
  <c r="Q388" i="2" s="1"/>
  <c r="N13" i="38"/>
  <c r="M13" i="38"/>
  <c r="L13" i="38"/>
  <c r="K13" i="38"/>
  <c r="M388" i="2" s="1"/>
  <c r="J13" i="38"/>
  <c r="I13" i="38"/>
  <c r="H13" i="38"/>
  <c r="G13" i="38"/>
  <c r="I388" i="2" s="1"/>
  <c r="F13" i="38"/>
  <c r="E13" i="38"/>
  <c r="D13" i="38"/>
  <c r="C13" i="38"/>
  <c r="B13" i="38"/>
  <c r="A13" i="38"/>
  <c r="S12" i="38"/>
  <c r="R12" i="38"/>
  <c r="T387" i="2" s="1"/>
  <c r="Q12" i="38"/>
  <c r="P12" i="38"/>
  <c r="O12" i="38"/>
  <c r="N12" i="38"/>
  <c r="P387" i="2" s="1"/>
  <c r="M12" i="38"/>
  <c r="L12" i="38"/>
  <c r="K12" i="38"/>
  <c r="J12" i="38"/>
  <c r="L387" i="2" s="1"/>
  <c r="I12" i="38"/>
  <c r="H12" i="38"/>
  <c r="G12" i="38"/>
  <c r="F12" i="38"/>
  <c r="H387" i="2" s="1"/>
  <c r="E12" i="38"/>
  <c r="D12" i="38"/>
  <c r="C12" i="38"/>
  <c r="B12" i="38"/>
  <c r="A12" i="38"/>
  <c r="S11" i="38"/>
  <c r="R11" i="38"/>
  <c r="Q11" i="38"/>
  <c r="S386" i="2" s="1"/>
  <c r="P11" i="38"/>
  <c r="O11" i="38"/>
  <c r="N11" i="38"/>
  <c r="M11" i="38"/>
  <c r="O386" i="2" s="1"/>
  <c r="L11" i="38"/>
  <c r="K11" i="38"/>
  <c r="J11" i="38"/>
  <c r="I11" i="38"/>
  <c r="K386" i="2" s="1"/>
  <c r="H11" i="38"/>
  <c r="G11" i="38"/>
  <c r="F11" i="38"/>
  <c r="E11" i="38"/>
  <c r="D11" i="38"/>
  <c r="C11" i="38"/>
  <c r="B11" i="38"/>
  <c r="A11" i="38"/>
  <c r="S10" i="38"/>
  <c r="R10" i="38"/>
  <c r="Q10" i="38"/>
  <c r="P10" i="38"/>
  <c r="R385" i="2" s="1"/>
  <c r="O10" i="38"/>
  <c r="N10" i="38"/>
  <c r="M10" i="38"/>
  <c r="L10" i="38"/>
  <c r="N385" i="2" s="1"/>
  <c r="K10" i="38"/>
  <c r="J10" i="38"/>
  <c r="I10" i="38"/>
  <c r="H10" i="38"/>
  <c r="J385" i="2" s="1"/>
  <c r="G10" i="38"/>
  <c r="F10" i="38"/>
  <c r="E10" i="38"/>
  <c r="D10" i="38"/>
  <c r="C10" i="38"/>
  <c r="B10" i="38"/>
  <c r="A10" i="38"/>
  <c r="S9" i="38"/>
  <c r="U384" i="2" s="1"/>
  <c r="R9" i="38"/>
  <c r="Q9" i="38"/>
  <c r="P9" i="38"/>
  <c r="O9" i="38"/>
  <c r="Q384" i="2" s="1"/>
  <c r="N9" i="38"/>
  <c r="M9" i="38"/>
  <c r="L9" i="38"/>
  <c r="K9" i="38"/>
  <c r="M384" i="2" s="1"/>
  <c r="J9" i="38"/>
  <c r="I9" i="38"/>
  <c r="H9" i="38"/>
  <c r="G9" i="38"/>
  <c r="I384" i="2" s="1"/>
  <c r="F9" i="38"/>
  <c r="E9" i="38"/>
  <c r="D9" i="38"/>
  <c r="C9" i="38"/>
  <c r="B9" i="38"/>
  <c r="A9" i="38"/>
  <c r="S8" i="38"/>
  <c r="R8" i="38"/>
  <c r="T383" i="2" s="1"/>
  <c r="Q8" i="38"/>
  <c r="P8" i="38"/>
  <c r="O8" i="38"/>
  <c r="N8" i="38"/>
  <c r="P383" i="2" s="1"/>
  <c r="M8" i="38"/>
  <c r="L8" i="38"/>
  <c r="K8" i="38"/>
  <c r="J8" i="38"/>
  <c r="L383" i="2" s="1"/>
  <c r="I8" i="38"/>
  <c r="H8" i="38"/>
  <c r="G8" i="38"/>
  <c r="F8" i="38"/>
  <c r="H383" i="2" s="1"/>
  <c r="E8" i="38"/>
  <c r="D8" i="38"/>
  <c r="C8" i="38"/>
  <c r="B8" i="38"/>
  <c r="A8" i="38"/>
  <c r="S7" i="38"/>
  <c r="R7" i="38"/>
  <c r="Q7" i="38"/>
  <c r="S382" i="2" s="1"/>
  <c r="P7" i="38"/>
  <c r="O7" i="38"/>
  <c r="N7" i="38"/>
  <c r="M7" i="38"/>
  <c r="O382" i="2" s="1"/>
  <c r="L7" i="38"/>
  <c r="K7" i="38"/>
  <c r="J7" i="38"/>
  <c r="I7" i="38"/>
  <c r="K382" i="2" s="1"/>
  <c r="H7" i="38"/>
  <c r="G7" i="38"/>
  <c r="F7" i="38"/>
  <c r="E7" i="38"/>
  <c r="D7" i="38"/>
  <c r="C7" i="38"/>
  <c r="B7" i="38"/>
  <c r="A7" i="38"/>
  <c r="S6" i="38"/>
  <c r="R6" i="38"/>
  <c r="Q6" i="38"/>
  <c r="P6" i="38"/>
  <c r="R381" i="2" s="1"/>
  <c r="O6" i="38"/>
  <c r="N6" i="38"/>
  <c r="M6" i="38"/>
  <c r="L6" i="38"/>
  <c r="N381" i="2" s="1"/>
  <c r="K6" i="38"/>
  <c r="J6" i="38"/>
  <c r="I6" i="38"/>
  <c r="H6" i="38"/>
  <c r="J381" i="2" s="1"/>
  <c r="G6" i="38"/>
  <c r="F6" i="38"/>
  <c r="E6" i="38"/>
  <c r="D6" i="38"/>
  <c r="C6" i="38"/>
  <c r="B6" i="38"/>
  <c r="A6" i="38"/>
  <c r="S5" i="38"/>
  <c r="U380" i="2" s="1"/>
  <c r="R5" i="38"/>
  <c r="Q5" i="38"/>
  <c r="P5" i="38"/>
  <c r="O5" i="38"/>
  <c r="Q380" i="2" s="1"/>
  <c r="N5" i="38"/>
  <c r="M5" i="38"/>
  <c r="L5" i="38"/>
  <c r="K5" i="38"/>
  <c r="M380" i="2" s="1"/>
  <c r="J5" i="38"/>
  <c r="I5" i="38"/>
  <c r="H5" i="38"/>
  <c r="G5" i="38"/>
  <c r="I380" i="2" s="1"/>
  <c r="F5" i="38"/>
  <c r="E5" i="38"/>
  <c r="D5" i="38"/>
  <c r="C5" i="38"/>
  <c r="B5" i="38"/>
  <c r="A5" i="38"/>
  <c r="S4" i="38"/>
  <c r="R4" i="38"/>
  <c r="T379" i="2" s="1"/>
  <c r="Q4" i="38"/>
  <c r="P4" i="38"/>
  <c r="O4" i="38"/>
  <c r="N4" i="38"/>
  <c r="P379" i="2" s="1"/>
  <c r="M4" i="38"/>
  <c r="L4" i="38"/>
  <c r="K4" i="38"/>
  <c r="J4" i="38"/>
  <c r="L379" i="2" s="1"/>
  <c r="I4" i="38"/>
  <c r="H4" i="38"/>
  <c r="G4" i="38"/>
  <c r="F4" i="38"/>
  <c r="H379" i="2" s="1"/>
  <c r="E4" i="38"/>
  <c r="D4" i="38"/>
  <c r="C4" i="38"/>
  <c r="B4" i="38"/>
  <c r="A4" i="38"/>
  <c r="S3" i="38"/>
  <c r="R3" i="38"/>
  <c r="Q3" i="38"/>
  <c r="S378" i="2" s="1"/>
  <c r="P3" i="38"/>
  <c r="O3" i="38"/>
  <c r="N3" i="38"/>
  <c r="M3" i="38"/>
  <c r="O378" i="2" s="1"/>
  <c r="L3" i="38"/>
  <c r="K3" i="38"/>
  <c r="J3" i="38"/>
  <c r="I3" i="38"/>
  <c r="K378" i="2" s="1"/>
  <c r="H3" i="38"/>
  <c r="G3" i="38"/>
  <c r="F3" i="38"/>
  <c r="E3" i="38"/>
  <c r="D3" i="38"/>
  <c r="C3" i="38"/>
  <c r="B3" i="38"/>
  <c r="A3" i="38"/>
  <c r="S2" i="38"/>
  <c r="R2" i="38"/>
  <c r="Q2" i="38"/>
  <c r="P2" i="38"/>
  <c r="R377" i="2" s="1"/>
  <c r="O2" i="38"/>
  <c r="N2" i="38"/>
  <c r="M2" i="38"/>
  <c r="L2" i="38"/>
  <c r="N377" i="2" s="1"/>
  <c r="K2" i="38"/>
  <c r="J2" i="38"/>
  <c r="I2" i="38"/>
  <c r="H2" i="38"/>
  <c r="J377" i="2" s="1"/>
  <c r="G2" i="38"/>
  <c r="F2" i="38"/>
  <c r="E2" i="38"/>
  <c r="D2" i="38"/>
  <c r="C2" i="38"/>
  <c r="B2" i="38"/>
  <c r="A2" i="38"/>
  <c r="S1" i="38"/>
  <c r="R1" i="38"/>
  <c r="Q1" i="38"/>
  <c r="P1" i="38"/>
  <c r="O1" i="38"/>
  <c r="N1" i="38"/>
  <c r="M1" i="38"/>
  <c r="L1" i="38"/>
  <c r="K1" i="38"/>
  <c r="J1" i="38"/>
  <c r="I1" i="38"/>
  <c r="H1" i="38"/>
  <c r="G1" i="38"/>
  <c r="F1" i="38"/>
  <c r="E1" i="38"/>
  <c r="D1" i="38"/>
  <c r="C1" i="38"/>
  <c r="B1" i="38"/>
  <c r="A1" i="38"/>
  <c r="S26" i="37"/>
  <c r="R26" i="37"/>
  <c r="P401" i="1" s="1"/>
  <c r="Q26" i="37"/>
  <c r="P26" i="37"/>
  <c r="O26" i="37"/>
  <c r="N26" i="37"/>
  <c r="L401" i="1" s="1"/>
  <c r="M26" i="37"/>
  <c r="L26" i="37"/>
  <c r="K26" i="37"/>
  <c r="J26" i="37"/>
  <c r="H401" i="1" s="1"/>
  <c r="I26" i="37"/>
  <c r="H26" i="37"/>
  <c r="G26" i="37"/>
  <c r="F26" i="37"/>
  <c r="D401" i="1" s="1"/>
  <c r="E26" i="37"/>
  <c r="D26" i="37"/>
  <c r="C26" i="37"/>
  <c r="B26" i="37"/>
  <c r="D401" i="3" s="1"/>
  <c r="A26" i="37"/>
  <c r="S25" i="37"/>
  <c r="R25" i="37"/>
  <c r="Q25" i="37"/>
  <c r="O400" i="1" s="1"/>
  <c r="P25" i="37"/>
  <c r="O25" i="37"/>
  <c r="N25" i="37"/>
  <c r="M25" i="37"/>
  <c r="K400" i="1" s="1"/>
  <c r="L25" i="37"/>
  <c r="K25" i="37"/>
  <c r="J25" i="37"/>
  <c r="I25" i="37"/>
  <c r="G400" i="1" s="1"/>
  <c r="H25" i="37"/>
  <c r="G25" i="37"/>
  <c r="F25" i="37"/>
  <c r="E25" i="37"/>
  <c r="D25" i="37"/>
  <c r="C25" i="37"/>
  <c r="B25" i="37"/>
  <c r="A25" i="37"/>
  <c r="S24" i="37"/>
  <c r="R24" i="37"/>
  <c r="Q24" i="37"/>
  <c r="P24" i="37"/>
  <c r="N399" i="1" s="1"/>
  <c r="O24" i="37"/>
  <c r="N24" i="37"/>
  <c r="M24" i="37"/>
  <c r="L24" i="37"/>
  <c r="J399" i="1" s="1"/>
  <c r="K24" i="37"/>
  <c r="J24" i="37"/>
  <c r="I24" i="37"/>
  <c r="H24" i="37"/>
  <c r="F399" i="1" s="1"/>
  <c r="G24" i="37"/>
  <c r="F24" i="37"/>
  <c r="E24" i="37"/>
  <c r="D24" i="37"/>
  <c r="C24" i="37"/>
  <c r="B24" i="37"/>
  <c r="A24" i="37"/>
  <c r="S23" i="37"/>
  <c r="Q398" i="1" s="1"/>
  <c r="R23" i="37"/>
  <c r="Q23" i="37"/>
  <c r="P23" i="37"/>
  <c r="O23" i="37"/>
  <c r="M398" i="1" s="1"/>
  <c r="N23" i="37"/>
  <c r="M23" i="37"/>
  <c r="L23" i="37"/>
  <c r="K23" i="37"/>
  <c r="I398" i="1" s="1"/>
  <c r="J23" i="37"/>
  <c r="I23" i="37"/>
  <c r="H23" i="37"/>
  <c r="G23" i="37"/>
  <c r="E398" i="1" s="1"/>
  <c r="F23" i="37"/>
  <c r="E23" i="37"/>
  <c r="D23" i="37"/>
  <c r="C23" i="37"/>
  <c r="B23" i="37"/>
  <c r="A23" i="37"/>
  <c r="S22" i="37"/>
  <c r="R22" i="37"/>
  <c r="P397" i="1" s="1"/>
  <c r="Q22" i="37"/>
  <c r="P22" i="37"/>
  <c r="O22" i="37"/>
  <c r="N22" i="37"/>
  <c r="L397" i="1" s="1"/>
  <c r="M22" i="37"/>
  <c r="L22" i="37"/>
  <c r="K22" i="37"/>
  <c r="J22" i="37"/>
  <c r="H397" i="1" s="1"/>
  <c r="I22" i="37"/>
  <c r="H22" i="37"/>
  <c r="G22" i="37"/>
  <c r="F22" i="37"/>
  <c r="D397" i="1" s="1"/>
  <c r="E22" i="37"/>
  <c r="D22" i="37"/>
  <c r="C22" i="37"/>
  <c r="B22" i="37"/>
  <c r="D397" i="3" s="1"/>
  <c r="A22" i="37"/>
  <c r="S21" i="37"/>
  <c r="R21" i="37"/>
  <c r="Q21" i="37"/>
  <c r="O396" i="1" s="1"/>
  <c r="P21" i="37"/>
  <c r="O21" i="37"/>
  <c r="N21" i="37"/>
  <c r="M21" i="37"/>
  <c r="K396" i="1" s="1"/>
  <c r="L21" i="37"/>
  <c r="K21" i="37"/>
  <c r="J21" i="37"/>
  <c r="I21" i="37"/>
  <c r="G396" i="1" s="1"/>
  <c r="H21" i="37"/>
  <c r="G21" i="37"/>
  <c r="F21" i="37"/>
  <c r="E21" i="37"/>
  <c r="D21" i="37"/>
  <c r="C21" i="37"/>
  <c r="B21" i="37"/>
  <c r="A21" i="37"/>
  <c r="S20" i="37"/>
  <c r="R20" i="37"/>
  <c r="Q20" i="37"/>
  <c r="P20" i="37"/>
  <c r="N395" i="1" s="1"/>
  <c r="O20" i="37"/>
  <c r="N20" i="37"/>
  <c r="M20" i="37"/>
  <c r="L20" i="37"/>
  <c r="J395" i="1" s="1"/>
  <c r="K20" i="37"/>
  <c r="J20" i="37"/>
  <c r="I20" i="37"/>
  <c r="H20" i="37"/>
  <c r="F395" i="1" s="1"/>
  <c r="G20" i="37"/>
  <c r="F20" i="37"/>
  <c r="E20" i="37"/>
  <c r="D20" i="37"/>
  <c r="C20" i="37"/>
  <c r="B20" i="37"/>
  <c r="A20" i="37"/>
  <c r="S19" i="37"/>
  <c r="Q394" i="1" s="1"/>
  <c r="R19" i="37"/>
  <c r="Q19" i="37"/>
  <c r="P19" i="37"/>
  <c r="O19" i="37"/>
  <c r="M394" i="1" s="1"/>
  <c r="N19" i="37"/>
  <c r="M19" i="37"/>
  <c r="L19" i="37"/>
  <c r="K19" i="37"/>
  <c r="I394" i="1" s="1"/>
  <c r="J19" i="37"/>
  <c r="I19" i="37"/>
  <c r="H19" i="37"/>
  <c r="G19" i="37"/>
  <c r="E394" i="1" s="1"/>
  <c r="F19" i="37"/>
  <c r="E19" i="37"/>
  <c r="D19" i="37"/>
  <c r="C19" i="37"/>
  <c r="B19" i="37"/>
  <c r="A19" i="37"/>
  <c r="S18" i="37"/>
  <c r="R18" i="37"/>
  <c r="P393" i="1" s="1"/>
  <c r="Q18" i="37"/>
  <c r="P18" i="37"/>
  <c r="O18" i="37"/>
  <c r="N18" i="37"/>
  <c r="L393" i="1" s="1"/>
  <c r="M18" i="37"/>
  <c r="L18" i="37"/>
  <c r="K18" i="37"/>
  <c r="J18" i="37"/>
  <c r="H393" i="1" s="1"/>
  <c r="I18" i="37"/>
  <c r="H18" i="37"/>
  <c r="G18" i="37"/>
  <c r="F18" i="37"/>
  <c r="D393" i="1" s="1"/>
  <c r="E18" i="37"/>
  <c r="D18" i="37"/>
  <c r="C18" i="37"/>
  <c r="B18" i="37"/>
  <c r="D393" i="3" s="1"/>
  <c r="A18" i="37"/>
  <c r="S17" i="37"/>
  <c r="R17" i="37"/>
  <c r="Q17" i="37"/>
  <c r="O392" i="1" s="1"/>
  <c r="P17" i="37"/>
  <c r="O17" i="37"/>
  <c r="N17" i="37"/>
  <c r="M17" i="37"/>
  <c r="K392" i="1" s="1"/>
  <c r="L17" i="37"/>
  <c r="K17" i="37"/>
  <c r="J17" i="37"/>
  <c r="I17" i="37"/>
  <c r="G392" i="1" s="1"/>
  <c r="H17" i="37"/>
  <c r="G17" i="37"/>
  <c r="F17" i="37"/>
  <c r="E17" i="37"/>
  <c r="D17" i="37"/>
  <c r="C17" i="37"/>
  <c r="B17" i="37"/>
  <c r="A17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A16" i="37"/>
  <c r="S15" i="37"/>
  <c r="Q390" i="1" s="1"/>
  <c r="R15" i="37"/>
  <c r="Q15" i="37"/>
  <c r="P15" i="37"/>
  <c r="O15" i="37"/>
  <c r="M390" i="1" s="1"/>
  <c r="N15" i="37"/>
  <c r="M15" i="37"/>
  <c r="L15" i="37"/>
  <c r="K15" i="37"/>
  <c r="I390" i="1" s="1"/>
  <c r="J15" i="37"/>
  <c r="I15" i="37"/>
  <c r="H15" i="37"/>
  <c r="G15" i="37"/>
  <c r="E390" i="1" s="1"/>
  <c r="F15" i="37"/>
  <c r="E15" i="37"/>
  <c r="D15" i="37"/>
  <c r="C15" i="37"/>
  <c r="B15" i="37"/>
  <c r="A15" i="37"/>
  <c r="S14" i="37"/>
  <c r="R14" i="37"/>
  <c r="P389" i="1" s="1"/>
  <c r="Q14" i="37"/>
  <c r="P14" i="37"/>
  <c r="O14" i="37"/>
  <c r="N14" i="37"/>
  <c r="L389" i="1" s="1"/>
  <c r="M14" i="37"/>
  <c r="L14" i="37"/>
  <c r="K14" i="37"/>
  <c r="J14" i="37"/>
  <c r="H389" i="1" s="1"/>
  <c r="I14" i="37"/>
  <c r="H14" i="37"/>
  <c r="G14" i="37"/>
  <c r="F14" i="37"/>
  <c r="D389" i="1" s="1"/>
  <c r="E14" i="37"/>
  <c r="D14" i="37"/>
  <c r="C14" i="37"/>
  <c r="B14" i="37"/>
  <c r="D389" i="3" s="1"/>
  <c r="A14" i="37"/>
  <c r="S13" i="37"/>
  <c r="R13" i="37"/>
  <c r="Q13" i="37"/>
  <c r="O388" i="1" s="1"/>
  <c r="P13" i="37"/>
  <c r="O13" i="37"/>
  <c r="N13" i="37"/>
  <c r="M13" i="37"/>
  <c r="K388" i="1" s="1"/>
  <c r="L13" i="37"/>
  <c r="K13" i="37"/>
  <c r="J13" i="37"/>
  <c r="I13" i="37"/>
  <c r="G388" i="1" s="1"/>
  <c r="H13" i="37"/>
  <c r="G13" i="37"/>
  <c r="F13" i="37"/>
  <c r="E13" i="37"/>
  <c r="D13" i="37"/>
  <c r="C13" i="37"/>
  <c r="B13" i="37"/>
  <c r="A13" i="37"/>
  <c r="S12" i="37"/>
  <c r="R12" i="37"/>
  <c r="Q12" i="37"/>
  <c r="P12" i="37"/>
  <c r="N387" i="1" s="1"/>
  <c r="O12" i="37"/>
  <c r="N12" i="37"/>
  <c r="M12" i="37"/>
  <c r="L12" i="37"/>
  <c r="J387" i="1" s="1"/>
  <c r="K12" i="37"/>
  <c r="J12" i="37"/>
  <c r="I12" i="37"/>
  <c r="H12" i="37"/>
  <c r="F387" i="1" s="1"/>
  <c r="G12" i="37"/>
  <c r="F12" i="37"/>
  <c r="E12" i="37"/>
  <c r="D12" i="37"/>
  <c r="C12" i="37"/>
  <c r="B12" i="37"/>
  <c r="A12" i="37"/>
  <c r="S11" i="37"/>
  <c r="Q386" i="1" s="1"/>
  <c r="R11" i="37"/>
  <c r="Q11" i="37"/>
  <c r="P11" i="37"/>
  <c r="O11" i="37"/>
  <c r="M386" i="1" s="1"/>
  <c r="N11" i="37"/>
  <c r="M11" i="37"/>
  <c r="L11" i="37"/>
  <c r="K11" i="37"/>
  <c r="I386" i="1" s="1"/>
  <c r="J11" i="37"/>
  <c r="I11" i="37"/>
  <c r="H11" i="37"/>
  <c r="G11" i="37"/>
  <c r="E386" i="1" s="1"/>
  <c r="F11" i="37"/>
  <c r="E11" i="37"/>
  <c r="D11" i="37"/>
  <c r="C11" i="37"/>
  <c r="B11" i="37"/>
  <c r="A11" i="37"/>
  <c r="S10" i="37"/>
  <c r="R10" i="37"/>
  <c r="P385" i="1" s="1"/>
  <c r="Q10" i="37"/>
  <c r="P10" i="37"/>
  <c r="O10" i="37"/>
  <c r="N10" i="37"/>
  <c r="L385" i="1" s="1"/>
  <c r="M10" i="37"/>
  <c r="L10" i="37"/>
  <c r="K10" i="37"/>
  <c r="J10" i="37"/>
  <c r="H385" i="1" s="1"/>
  <c r="I10" i="37"/>
  <c r="H10" i="37"/>
  <c r="G10" i="37"/>
  <c r="F10" i="37"/>
  <c r="D385" i="1" s="1"/>
  <c r="E10" i="37"/>
  <c r="D10" i="37"/>
  <c r="C10" i="37"/>
  <c r="B10" i="37"/>
  <c r="D385" i="3" s="1"/>
  <c r="A10" i="37"/>
  <c r="S9" i="37"/>
  <c r="R9" i="37"/>
  <c r="Q9" i="37"/>
  <c r="O384" i="1" s="1"/>
  <c r="P9" i="37"/>
  <c r="O9" i="37"/>
  <c r="N9" i="37"/>
  <c r="M9" i="37"/>
  <c r="K384" i="1" s="1"/>
  <c r="L9" i="37"/>
  <c r="K9" i="37"/>
  <c r="J9" i="37"/>
  <c r="I9" i="37"/>
  <c r="G384" i="1" s="1"/>
  <c r="H9" i="37"/>
  <c r="G9" i="37"/>
  <c r="F9" i="37"/>
  <c r="E9" i="37"/>
  <c r="D9" i="37"/>
  <c r="C9" i="37"/>
  <c r="B9" i="37"/>
  <c r="A9" i="37"/>
  <c r="S8" i="37"/>
  <c r="R8" i="37"/>
  <c r="Q8" i="37"/>
  <c r="P8" i="37"/>
  <c r="N383" i="1" s="1"/>
  <c r="O8" i="37"/>
  <c r="N8" i="37"/>
  <c r="M8" i="37"/>
  <c r="L8" i="37"/>
  <c r="J383" i="1" s="1"/>
  <c r="K8" i="37"/>
  <c r="J8" i="37"/>
  <c r="I8" i="37"/>
  <c r="H8" i="37"/>
  <c r="F383" i="1" s="1"/>
  <c r="G8" i="37"/>
  <c r="F8" i="37"/>
  <c r="E8" i="37"/>
  <c r="D8" i="37"/>
  <c r="C8" i="37"/>
  <c r="B8" i="37"/>
  <c r="A8" i="37"/>
  <c r="S7" i="37"/>
  <c r="Q382" i="1" s="1"/>
  <c r="R7" i="37"/>
  <c r="Q7" i="37"/>
  <c r="P7" i="37"/>
  <c r="O7" i="37"/>
  <c r="M382" i="1" s="1"/>
  <c r="N7" i="37"/>
  <c r="M7" i="37"/>
  <c r="L7" i="37"/>
  <c r="K7" i="37"/>
  <c r="I382" i="1" s="1"/>
  <c r="J7" i="37"/>
  <c r="I7" i="37"/>
  <c r="H7" i="37"/>
  <c r="G7" i="37"/>
  <c r="E382" i="1" s="1"/>
  <c r="F7" i="37"/>
  <c r="E7" i="37"/>
  <c r="D7" i="37"/>
  <c r="C7" i="37"/>
  <c r="B7" i="37"/>
  <c r="A7" i="37"/>
  <c r="S6" i="37"/>
  <c r="R6" i="37"/>
  <c r="P381" i="1" s="1"/>
  <c r="Q6" i="37"/>
  <c r="P6" i="37"/>
  <c r="O6" i="37"/>
  <c r="N6" i="37"/>
  <c r="L381" i="1" s="1"/>
  <c r="M6" i="37"/>
  <c r="L6" i="37"/>
  <c r="K6" i="37"/>
  <c r="J6" i="37"/>
  <c r="H381" i="1" s="1"/>
  <c r="I6" i="37"/>
  <c r="H6" i="37"/>
  <c r="G6" i="37"/>
  <c r="F6" i="37"/>
  <c r="D381" i="1" s="1"/>
  <c r="E6" i="37"/>
  <c r="D6" i="37"/>
  <c r="C6" i="37"/>
  <c r="B6" i="37"/>
  <c r="D381" i="3" s="1"/>
  <c r="A6" i="37"/>
  <c r="S5" i="37"/>
  <c r="R5" i="37"/>
  <c r="Q5" i="37"/>
  <c r="O380" i="1" s="1"/>
  <c r="P5" i="37"/>
  <c r="O5" i="37"/>
  <c r="N5" i="37"/>
  <c r="M5" i="37"/>
  <c r="K380" i="1" s="1"/>
  <c r="L5" i="37"/>
  <c r="K5" i="37"/>
  <c r="J5" i="37"/>
  <c r="I5" i="37"/>
  <c r="G380" i="1" s="1"/>
  <c r="H5" i="37"/>
  <c r="G5" i="37"/>
  <c r="F5" i="37"/>
  <c r="E5" i="37"/>
  <c r="D5" i="37"/>
  <c r="C5" i="37"/>
  <c r="B5" i="37"/>
  <c r="A5" i="37"/>
  <c r="S4" i="37"/>
  <c r="R4" i="37"/>
  <c r="Q4" i="37"/>
  <c r="P4" i="37"/>
  <c r="N379" i="1" s="1"/>
  <c r="O4" i="37"/>
  <c r="N4" i="37"/>
  <c r="M4" i="37"/>
  <c r="L4" i="37"/>
  <c r="J379" i="1" s="1"/>
  <c r="K4" i="37"/>
  <c r="J4" i="37"/>
  <c r="I4" i="37"/>
  <c r="H4" i="37"/>
  <c r="F379" i="1" s="1"/>
  <c r="G4" i="37"/>
  <c r="F4" i="37"/>
  <c r="E4" i="37"/>
  <c r="D4" i="37"/>
  <c r="C4" i="37"/>
  <c r="B4" i="37"/>
  <c r="A4" i="37"/>
  <c r="S3" i="37"/>
  <c r="Q378" i="1" s="1"/>
  <c r="R3" i="37"/>
  <c r="Q3" i="37"/>
  <c r="P3" i="37"/>
  <c r="O3" i="37"/>
  <c r="M378" i="1" s="1"/>
  <c r="N3" i="37"/>
  <c r="M3" i="37"/>
  <c r="L3" i="37"/>
  <c r="K3" i="37"/>
  <c r="I378" i="1" s="1"/>
  <c r="J3" i="37"/>
  <c r="I3" i="37"/>
  <c r="H3" i="37"/>
  <c r="G3" i="37"/>
  <c r="E378" i="1" s="1"/>
  <c r="F3" i="37"/>
  <c r="E3" i="37"/>
  <c r="D3" i="37"/>
  <c r="C3" i="37"/>
  <c r="B3" i="37"/>
  <c r="A3" i="37"/>
  <c r="S2" i="37"/>
  <c r="R2" i="37"/>
  <c r="P377" i="1" s="1"/>
  <c r="Q2" i="37"/>
  <c r="P2" i="37"/>
  <c r="O2" i="37"/>
  <c r="N2" i="37"/>
  <c r="L377" i="1" s="1"/>
  <c r="M2" i="37"/>
  <c r="L2" i="37"/>
  <c r="K2" i="37"/>
  <c r="J2" i="37"/>
  <c r="H377" i="1" s="1"/>
  <c r="I2" i="37"/>
  <c r="H2" i="37"/>
  <c r="G2" i="37"/>
  <c r="F2" i="37"/>
  <c r="D377" i="1" s="1"/>
  <c r="E2" i="37"/>
  <c r="D2" i="37"/>
  <c r="C2" i="37"/>
  <c r="B2" i="37"/>
  <c r="D377" i="3" s="1"/>
  <c r="A2" i="37"/>
  <c r="S1" i="37"/>
  <c r="R1" i="37"/>
  <c r="Q1" i="37"/>
  <c r="P1" i="37"/>
  <c r="O1" i="37"/>
  <c r="N1" i="37"/>
  <c r="M1" i="37"/>
  <c r="L1" i="37"/>
  <c r="K1" i="37"/>
  <c r="J1" i="37"/>
  <c r="I1" i="37"/>
  <c r="H1" i="37"/>
  <c r="G1" i="37"/>
  <c r="F1" i="37"/>
  <c r="E1" i="37"/>
  <c r="D1" i="37"/>
  <c r="C1" i="37"/>
  <c r="B1" i="37"/>
  <c r="A1" i="37"/>
  <c r="S19" i="36"/>
  <c r="R19" i="36"/>
  <c r="Q19" i="36"/>
  <c r="P19" i="36"/>
  <c r="R376" i="2" s="1"/>
  <c r="O19" i="36"/>
  <c r="N19" i="36"/>
  <c r="M19" i="36"/>
  <c r="L19" i="36"/>
  <c r="N376" i="2" s="1"/>
  <c r="K19" i="36"/>
  <c r="J19" i="36"/>
  <c r="I19" i="36"/>
  <c r="H19" i="36"/>
  <c r="J376" i="2" s="1"/>
  <c r="G19" i="36"/>
  <c r="F19" i="36"/>
  <c r="E19" i="36"/>
  <c r="D19" i="36"/>
  <c r="B19" i="36"/>
  <c r="A19" i="36"/>
  <c r="S18" i="36"/>
  <c r="R18" i="36"/>
  <c r="T375" i="2" s="1"/>
  <c r="Q18" i="36"/>
  <c r="P18" i="36"/>
  <c r="O18" i="36"/>
  <c r="N18" i="36"/>
  <c r="P375" i="2" s="1"/>
  <c r="M18" i="36"/>
  <c r="L18" i="36"/>
  <c r="K18" i="36"/>
  <c r="J18" i="36"/>
  <c r="L375" i="2" s="1"/>
  <c r="I18" i="36"/>
  <c r="H18" i="36"/>
  <c r="G18" i="36"/>
  <c r="F18" i="36"/>
  <c r="H375" i="2" s="1"/>
  <c r="E18" i="36"/>
  <c r="D18" i="36"/>
  <c r="B18" i="36"/>
  <c r="A18" i="36"/>
  <c r="S17" i="36"/>
  <c r="R17" i="36"/>
  <c r="Q17" i="36"/>
  <c r="P17" i="36"/>
  <c r="R374" i="2" s="1"/>
  <c r="O17" i="36"/>
  <c r="N17" i="36"/>
  <c r="M17" i="36"/>
  <c r="L17" i="36"/>
  <c r="N374" i="2" s="1"/>
  <c r="K17" i="36"/>
  <c r="J17" i="36"/>
  <c r="I17" i="36"/>
  <c r="H17" i="36"/>
  <c r="J374" i="2" s="1"/>
  <c r="G17" i="36"/>
  <c r="F17" i="36"/>
  <c r="E17" i="36"/>
  <c r="D17" i="36"/>
  <c r="B17" i="36"/>
  <c r="A17" i="36"/>
  <c r="S16" i="36"/>
  <c r="R16" i="36"/>
  <c r="T373" i="2" s="1"/>
  <c r="Q16" i="36"/>
  <c r="P16" i="36"/>
  <c r="O16" i="36"/>
  <c r="N16" i="36"/>
  <c r="P373" i="2" s="1"/>
  <c r="M16" i="36"/>
  <c r="L16" i="36"/>
  <c r="K16" i="36"/>
  <c r="J16" i="36"/>
  <c r="L373" i="2" s="1"/>
  <c r="I16" i="36"/>
  <c r="H16" i="36"/>
  <c r="G16" i="36"/>
  <c r="F16" i="36"/>
  <c r="H373" i="2" s="1"/>
  <c r="E16" i="36"/>
  <c r="D16" i="36"/>
  <c r="B16" i="36"/>
  <c r="A16" i="36"/>
  <c r="S15" i="36"/>
  <c r="R15" i="36"/>
  <c r="Q15" i="36"/>
  <c r="P15" i="36"/>
  <c r="R372" i="2" s="1"/>
  <c r="O15" i="36"/>
  <c r="N15" i="36"/>
  <c r="M15" i="36"/>
  <c r="L15" i="36"/>
  <c r="N372" i="2" s="1"/>
  <c r="K15" i="36"/>
  <c r="J15" i="36"/>
  <c r="I15" i="36"/>
  <c r="H15" i="36"/>
  <c r="J372" i="2" s="1"/>
  <c r="G15" i="36"/>
  <c r="F15" i="36"/>
  <c r="E15" i="36"/>
  <c r="D15" i="36"/>
  <c r="B15" i="36"/>
  <c r="A15" i="36"/>
  <c r="S14" i="36"/>
  <c r="R14" i="36"/>
  <c r="T371" i="2" s="1"/>
  <c r="Q14" i="36"/>
  <c r="P14" i="36"/>
  <c r="O14" i="36"/>
  <c r="N14" i="36"/>
  <c r="P371" i="2" s="1"/>
  <c r="M14" i="36"/>
  <c r="L14" i="36"/>
  <c r="K14" i="36"/>
  <c r="J14" i="36"/>
  <c r="L371" i="2" s="1"/>
  <c r="I14" i="36"/>
  <c r="H14" i="36"/>
  <c r="G14" i="36"/>
  <c r="F14" i="36"/>
  <c r="H371" i="2" s="1"/>
  <c r="E14" i="36"/>
  <c r="D14" i="36"/>
  <c r="B14" i="36"/>
  <c r="A14" i="36"/>
  <c r="S13" i="36"/>
  <c r="R13" i="36"/>
  <c r="Q13" i="36"/>
  <c r="P13" i="36"/>
  <c r="R370" i="2" s="1"/>
  <c r="O13" i="36"/>
  <c r="N13" i="36"/>
  <c r="M13" i="36"/>
  <c r="L13" i="36"/>
  <c r="N370" i="2" s="1"/>
  <c r="K13" i="36"/>
  <c r="J13" i="36"/>
  <c r="I13" i="36"/>
  <c r="H13" i="36"/>
  <c r="J370" i="2" s="1"/>
  <c r="G13" i="36"/>
  <c r="F13" i="36"/>
  <c r="E13" i="36"/>
  <c r="D13" i="36"/>
  <c r="B13" i="36"/>
  <c r="A13" i="36"/>
  <c r="S12" i="36"/>
  <c r="R12" i="36"/>
  <c r="T369" i="2" s="1"/>
  <c r="Q12" i="36"/>
  <c r="P12" i="36"/>
  <c r="O12" i="36"/>
  <c r="N12" i="36"/>
  <c r="P369" i="2" s="1"/>
  <c r="M12" i="36"/>
  <c r="L12" i="36"/>
  <c r="K12" i="36"/>
  <c r="J12" i="36"/>
  <c r="L369" i="2" s="1"/>
  <c r="I12" i="36"/>
  <c r="H12" i="36"/>
  <c r="G12" i="36"/>
  <c r="F12" i="36"/>
  <c r="H369" i="2" s="1"/>
  <c r="E12" i="36"/>
  <c r="D12" i="36"/>
  <c r="B12" i="36"/>
  <c r="A12" i="36"/>
  <c r="S11" i="36"/>
  <c r="R11" i="36"/>
  <c r="Q11" i="36"/>
  <c r="P11" i="36"/>
  <c r="R368" i="2" s="1"/>
  <c r="O11" i="36"/>
  <c r="N11" i="36"/>
  <c r="M11" i="36"/>
  <c r="L11" i="36"/>
  <c r="N368" i="2" s="1"/>
  <c r="K11" i="36"/>
  <c r="J11" i="36"/>
  <c r="I11" i="36"/>
  <c r="H11" i="36"/>
  <c r="J368" i="2" s="1"/>
  <c r="G11" i="36"/>
  <c r="F11" i="36"/>
  <c r="E11" i="36"/>
  <c r="D11" i="36"/>
  <c r="B11" i="36"/>
  <c r="A11" i="36"/>
  <c r="S10" i="36"/>
  <c r="R10" i="36"/>
  <c r="T367" i="2" s="1"/>
  <c r="Q10" i="36"/>
  <c r="P10" i="36"/>
  <c r="O10" i="36"/>
  <c r="N10" i="36"/>
  <c r="P367" i="2" s="1"/>
  <c r="M10" i="36"/>
  <c r="L10" i="36"/>
  <c r="K10" i="36"/>
  <c r="J10" i="36"/>
  <c r="L367" i="2" s="1"/>
  <c r="I10" i="36"/>
  <c r="H10" i="36"/>
  <c r="G10" i="36"/>
  <c r="F10" i="36"/>
  <c r="H367" i="2" s="1"/>
  <c r="E10" i="36"/>
  <c r="D10" i="36"/>
  <c r="B10" i="36"/>
  <c r="A10" i="36"/>
  <c r="S9" i="36"/>
  <c r="R9" i="36"/>
  <c r="Q9" i="36"/>
  <c r="P9" i="36"/>
  <c r="R366" i="2" s="1"/>
  <c r="O9" i="36"/>
  <c r="N9" i="36"/>
  <c r="M9" i="36"/>
  <c r="L9" i="36"/>
  <c r="N366" i="2" s="1"/>
  <c r="K9" i="36"/>
  <c r="J9" i="36"/>
  <c r="I9" i="36"/>
  <c r="H9" i="36"/>
  <c r="J366" i="2" s="1"/>
  <c r="G9" i="36"/>
  <c r="F9" i="36"/>
  <c r="E9" i="36"/>
  <c r="D9" i="36"/>
  <c r="B9" i="36"/>
  <c r="A9" i="36"/>
  <c r="S8" i="36"/>
  <c r="R8" i="36"/>
  <c r="T365" i="2" s="1"/>
  <c r="Q8" i="36"/>
  <c r="P8" i="36"/>
  <c r="O8" i="36"/>
  <c r="N8" i="36"/>
  <c r="P365" i="2" s="1"/>
  <c r="M8" i="36"/>
  <c r="L8" i="36"/>
  <c r="K8" i="36"/>
  <c r="J8" i="36"/>
  <c r="L365" i="2" s="1"/>
  <c r="I8" i="36"/>
  <c r="H8" i="36"/>
  <c r="G8" i="36"/>
  <c r="F8" i="36"/>
  <c r="H365" i="2" s="1"/>
  <c r="E8" i="36"/>
  <c r="D8" i="36"/>
  <c r="B8" i="36"/>
  <c r="A8" i="36"/>
  <c r="S7" i="36"/>
  <c r="R7" i="36"/>
  <c r="Q7" i="36"/>
  <c r="P7" i="36"/>
  <c r="R364" i="2" s="1"/>
  <c r="O7" i="36"/>
  <c r="N7" i="36"/>
  <c r="M7" i="36"/>
  <c r="L7" i="36"/>
  <c r="N364" i="2" s="1"/>
  <c r="K7" i="36"/>
  <c r="J7" i="36"/>
  <c r="I7" i="36"/>
  <c r="H7" i="36"/>
  <c r="J364" i="2" s="1"/>
  <c r="G7" i="36"/>
  <c r="F7" i="36"/>
  <c r="E7" i="36"/>
  <c r="D7" i="36"/>
  <c r="B7" i="36"/>
  <c r="A7" i="36"/>
  <c r="S6" i="36"/>
  <c r="R6" i="36"/>
  <c r="T363" i="2" s="1"/>
  <c r="Q6" i="36"/>
  <c r="P6" i="36"/>
  <c r="O6" i="36"/>
  <c r="N6" i="36"/>
  <c r="P363" i="2" s="1"/>
  <c r="M6" i="36"/>
  <c r="L6" i="36"/>
  <c r="K6" i="36"/>
  <c r="J6" i="36"/>
  <c r="L363" i="2" s="1"/>
  <c r="I6" i="36"/>
  <c r="H6" i="36"/>
  <c r="G6" i="36"/>
  <c r="F6" i="36"/>
  <c r="H363" i="2" s="1"/>
  <c r="E6" i="36"/>
  <c r="D6" i="36"/>
  <c r="B6" i="36"/>
  <c r="A6" i="36"/>
  <c r="S5" i="36"/>
  <c r="R5" i="36"/>
  <c r="Q5" i="36"/>
  <c r="P5" i="36"/>
  <c r="R362" i="2" s="1"/>
  <c r="O5" i="36"/>
  <c r="N5" i="36"/>
  <c r="M5" i="36"/>
  <c r="L5" i="36"/>
  <c r="N362" i="2" s="1"/>
  <c r="K5" i="36"/>
  <c r="J5" i="36"/>
  <c r="I5" i="36"/>
  <c r="H5" i="36"/>
  <c r="J362" i="2" s="1"/>
  <c r="G5" i="36"/>
  <c r="F5" i="36"/>
  <c r="E5" i="36"/>
  <c r="D5" i="36"/>
  <c r="B5" i="36"/>
  <c r="A5" i="36"/>
  <c r="S4" i="36"/>
  <c r="R4" i="36"/>
  <c r="T361" i="2" s="1"/>
  <c r="Q4" i="36"/>
  <c r="P4" i="36"/>
  <c r="O4" i="36"/>
  <c r="N4" i="36"/>
  <c r="P361" i="2" s="1"/>
  <c r="M4" i="36"/>
  <c r="L4" i="36"/>
  <c r="K4" i="36"/>
  <c r="J4" i="36"/>
  <c r="L361" i="2" s="1"/>
  <c r="I4" i="36"/>
  <c r="H4" i="36"/>
  <c r="G4" i="36"/>
  <c r="F4" i="36"/>
  <c r="H361" i="2" s="1"/>
  <c r="E4" i="36"/>
  <c r="D4" i="36"/>
  <c r="B4" i="36"/>
  <c r="A4" i="36"/>
  <c r="S3" i="36"/>
  <c r="R3" i="36"/>
  <c r="Q3" i="36"/>
  <c r="P3" i="36"/>
  <c r="R360" i="2" s="1"/>
  <c r="O3" i="36"/>
  <c r="N3" i="36"/>
  <c r="M3" i="36"/>
  <c r="L3" i="36"/>
  <c r="N360" i="2" s="1"/>
  <c r="K3" i="36"/>
  <c r="J3" i="36"/>
  <c r="I3" i="36"/>
  <c r="H3" i="36"/>
  <c r="J360" i="2" s="1"/>
  <c r="G3" i="36"/>
  <c r="F3" i="36"/>
  <c r="E3" i="36"/>
  <c r="D3" i="36"/>
  <c r="B3" i="36"/>
  <c r="A3" i="36"/>
  <c r="S2" i="36"/>
  <c r="R2" i="36"/>
  <c r="T359" i="2" s="1"/>
  <c r="Q2" i="36"/>
  <c r="P2" i="36"/>
  <c r="O2" i="36"/>
  <c r="N2" i="36"/>
  <c r="P359" i="2" s="1"/>
  <c r="M2" i="36"/>
  <c r="L2" i="36"/>
  <c r="K2" i="36"/>
  <c r="J2" i="36"/>
  <c r="L359" i="2" s="1"/>
  <c r="I2" i="36"/>
  <c r="H2" i="36"/>
  <c r="G2" i="36"/>
  <c r="F2" i="36"/>
  <c r="H359" i="2" s="1"/>
  <c r="E2" i="36"/>
  <c r="D2" i="36"/>
  <c r="B2" i="36"/>
  <c r="A2" i="36"/>
  <c r="S1" i="36"/>
  <c r="R1" i="36"/>
  <c r="Q1" i="36"/>
  <c r="P1" i="36"/>
  <c r="O1" i="36"/>
  <c r="N1" i="36"/>
  <c r="M1" i="36"/>
  <c r="L1" i="36"/>
  <c r="K1" i="36"/>
  <c r="J1" i="36"/>
  <c r="I1" i="36"/>
  <c r="H1" i="36"/>
  <c r="G1" i="36"/>
  <c r="F1" i="36"/>
  <c r="E1" i="36"/>
  <c r="D1" i="36"/>
  <c r="C1" i="36"/>
  <c r="B1" i="36"/>
  <c r="A1" i="36"/>
  <c r="S19" i="35"/>
  <c r="Q376" i="1" s="1"/>
  <c r="R19" i="35"/>
  <c r="Q19" i="35"/>
  <c r="P19" i="35"/>
  <c r="O19" i="35"/>
  <c r="M376" i="1" s="1"/>
  <c r="N19" i="35"/>
  <c r="M19" i="35"/>
  <c r="L19" i="35"/>
  <c r="K19" i="35"/>
  <c r="I376" i="1" s="1"/>
  <c r="J19" i="35"/>
  <c r="I19" i="35"/>
  <c r="H19" i="35"/>
  <c r="G19" i="35"/>
  <c r="E376" i="1" s="1"/>
  <c r="F19" i="35"/>
  <c r="E19" i="35"/>
  <c r="D19" i="35"/>
  <c r="C19" i="35"/>
  <c r="B19" i="35"/>
  <c r="A19" i="35"/>
  <c r="S18" i="35"/>
  <c r="R18" i="35"/>
  <c r="P375" i="1" s="1"/>
  <c r="Q18" i="35"/>
  <c r="P18" i="35"/>
  <c r="O18" i="35"/>
  <c r="N18" i="35"/>
  <c r="L375" i="1" s="1"/>
  <c r="M18" i="35"/>
  <c r="L18" i="35"/>
  <c r="K18" i="35"/>
  <c r="J18" i="35"/>
  <c r="H375" i="1" s="1"/>
  <c r="I18" i="35"/>
  <c r="H18" i="35"/>
  <c r="G18" i="35"/>
  <c r="F18" i="35"/>
  <c r="D375" i="1" s="1"/>
  <c r="E18" i="35"/>
  <c r="D18" i="35"/>
  <c r="C18" i="35"/>
  <c r="B18" i="35"/>
  <c r="D375" i="3" s="1"/>
  <c r="A18" i="35"/>
  <c r="S17" i="35"/>
  <c r="R17" i="35"/>
  <c r="Q17" i="35"/>
  <c r="O374" i="1" s="1"/>
  <c r="P17" i="35"/>
  <c r="O17" i="35"/>
  <c r="N17" i="35"/>
  <c r="M17" i="35"/>
  <c r="K374" i="1" s="1"/>
  <c r="L17" i="35"/>
  <c r="K17" i="35"/>
  <c r="J17" i="35"/>
  <c r="I17" i="35"/>
  <c r="G374" i="1" s="1"/>
  <c r="H17" i="35"/>
  <c r="G17" i="35"/>
  <c r="F17" i="35"/>
  <c r="E17" i="35"/>
  <c r="G374" i="3" s="1"/>
  <c r="D17" i="35"/>
  <c r="C17" i="35"/>
  <c r="B17" i="35"/>
  <c r="A17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F373" i="3" s="1"/>
  <c r="C16" i="35"/>
  <c r="B16" i="35"/>
  <c r="A16" i="35"/>
  <c r="S15" i="35"/>
  <c r="Q372" i="1" s="1"/>
  <c r="R15" i="35"/>
  <c r="Q15" i="35"/>
  <c r="P15" i="35"/>
  <c r="O15" i="35"/>
  <c r="M372" i="1" s="1"/>
  <c r="N15" i="35"/>
  <c r="M15" i="35"/>
  <c r="L15" i="35"/>
  <c r="K15" i="35"/>
  <c r="I372" i="1" s="1"/>
  <c r="J15" i="35"/>
  <c r="I15" i="35"/>
  <c r="H15" i="35"/>
  <c r="G15" i="35"/>
  <c r="E372" i="1" s="1"/>
  <c r="F15" i="35"/>
  <c r="E15" i="35"/>
  <c r="D15" i="35"/>
  <c r="C15" i="35"/>
  <c r="B15" i="35"/>
  <c r="A15" i="35"/>
  <c r="S14" i="35"/>
  <c r="R14" i="35"/>
  <c r="P371" i="1" s="1"/>
  <c r="Q14" i="35"/>
  <c r="P14" i="35"/>
  <c r="O14" i="35"/>
  <c r="N14" i="35"/>
  <c r="L371" i="1" s="1"/>
  <c r="M14" i="35"/>
  <c r="L14" i="35"/>
  <c r="K14" i="35"/>
  <c r="J14" i="35"/>
  <c r="H371" i="1" s="1"/>
  <c r="I14" i="35"/>
  <c r="H14" i="35"/>
  <c r="G14" i="35"/>
  <c r="F14" i="35"/>
  <c r="D371" i="1" s="1"/>
  <c r="E14" i="35"/>
  <c r="D14" i="35"/>
  <c r="C14" i="35"/>
  <c r="B14" i="35"/>
  <c r="D371" i="3" s="1"/>
  <c r="A14" i="35"/>
  <c r="S13" i="35"/>
  <c r="R13" i="35"/>
  <c r="Q13" i="35"/>
  <c r="O370" i="1" s="1"/>
  <c r="P13" i="35"/>
  <c r="O13" i="35"/>
  <c r="N13" i="35"/>
  <c r="M13" i="35"/>
  <c r="K370" i="1" s="1"/>
  <c r="L13" i="35"/>
  <c r="K13" i="35"/>
  <c r="J13" i="35"/>
  <c r="I13" i="35"/>
  <c r="G370" i="1" s="1"/>
  <c r="H13" i="35"/>
  <c r="G13" i="35"/>
  <c r="F13" i="35"/>
  <c r="E13" i="35"/>
  <c r="G370" i="3" s="1"/>
  <c r="D13" i="35"/>
  <c r="C13" i="35"/>
  <c r="B13" i="35"/>
  <c r="A13" i="35"/>
  <c r="S12" i="35"/>
  <c r="R12" i="35"/>
  <c r="Q12" i="35"/>
  <c r="P12" i="35"/>
  <c r="N369" i="1" s="1"/>
  <c r="O12" i="35"/>
  <c r="N12" i="35"/>
  <c r="M12" i="35"/>
  <c r="L12" i="35"/>
  <c r="J369" i="1" s="1"/>
  <c r="K12" i="35"/>
  <c r="J12" i="35"/>
  <c r="I12" i="35"/>
  <c r="H12" i="35"/>
  <c r="F369" i="1" s="1"/>
  <c r="G12" i="35"/>
  <c r="F12" i="35"/>
  <c r="E12" i="35"/>
  <c r="D12" i="35"/>
  <c r="F369" i="3" s="1"/>
  <c r="C12" i="35"/>
  <c r="B12" i="35"/>
  <c r="A12" i="35"/>
  <c r="S11" i="35"/>
  <c r="Q368" i="1" s="1"/>
  <c r="R11" i="35"/>
  <c r="Q11" i="35"/>
  <c r="P11" i="35"/>
  <c r="O11" i="35"/>
  <c r="M368" i="1" s="1"/>
  <c r="N11" i="35"/>
  <c r="M11" i="35"/>
  <c r="L11" i="35"/>
  <c r="K11" i="35"/>
  <c r="I368" i="1" s="1"/>
  <c r="J11" i="35"/>
  <c r="I11" i="35"/>
  <c r="H11" i="35"/>
  <c r="G11" i="35"/>
  <c r="E368" i="1" s="1"/>
  <c r="F11" i="35"/>
  <c r="E11" i="35"/>
  <c r="D11" i="35"/>
  <c r="C11" i="35"/>
  <c r="B11" i="35"/>
  <c r="A11" i="35"/>
  <c r="S10" i="35"/>
  <c r="R10" i="35"/>
  <c r="P367" i="1" s="1"/>
  <c r="Q10" i="35"/>
  <c r="P10" i="35"/>
  <c r="O10" i="35"/>
  <c r="N10" i="35"/>
  <c r="L367" i="1" s="1"/>
  <c r="M10" i="35"/>
  <c r="L10" i="35"/>
  <c r="K10" i="35"/>
  <c r="J10" i="35"/>
  <c r="H367" i="1" s="1"/>
  <c r="I10" i="35"/>
  <c r="H10" i="35"/>
  <c r="G10" i="35"/>
  <c r="F10" i="35"/>
  <c r="D367" i="1" s="1"/>
  <c r="E10" i="35"/>
  <c r="D10" i="35"/>
  <c r="C10" i="35"/>
  <c r="B10" i="35"/>
  <c r="D367" i="3" s="1"/>
  <c r="A10" i="35"/>
  <c r="S9" i="35"/>
  <c r="R9" i="35"/>
  <c r="Q9" i="35"/>
  <c r="O366" i="1" s="1"/>
  <c r="P9" i="35"/>
  <c r="O9" i="35"/>
  <c r="N9" i="35"/>
  <c r="M9" i="35"/>
  <c r="K366" i="1" s="1"/>
  <c r="L9" i="35"/>
  <c r="K9" i="35"/>
  <c r="J9" i="35"/>
  <c r="I9" i="35"/>
  <c r="G366" i="1" s="1"/>
  <c r="H9" i="35"/>
  <c r="G9" i="35"/>
  <c r="F9" i="35"/>
  <c r="E9" i="35"/>
  <c r="G366" i="3" s="1"/>
  <c r="D9" i="35"/>
  <c r="C9" i="35"/>
  <c r="B9" i="35"/>
  <c r="A9" i="35"/>
  <c r="S8" i="35"/>
  <c r="R8" i="35"/>
  <c r="Q8" i="35"/>
  <c r="P8" i="35"/>
  <c r="N365" i="1" s="1"/>
  <c r="O8" i="35"/>
  <c r="N8" i="35"/>
  <c r="M8" i="35"/>
  <c r="L8" i="35"/>
  <c r="J365" i="1" s="1"/>
  <c r="K8" i="35"/>
  <c r="J8" i="35"/>
  <c r="I8" i="35"/>
  <c r="H8" i="35"/>
  <c r="F365" i="1" s="1"/>
  <c r="G8" i="35"/>
  <c r="F8" i="35"/>
  <c r="E8" i="35"/>
  <c r="D8" i="35"/>
  <c r="F365" i="3" s="1"/>
  <c r="C8" i="35"/>
  <c r="B8" i="35"/>
  <c r="A8" i="35"/>
  <c r="S7" i="35"/>
  <c r="Q364" i="1" s="1"/>
  <c r="R7" i="35"/>
  <c r="Q7" i="35"/>
  <c r="P7" i="35"/>
  <c r="O7" i="35"/>
  <c r="M364" i="1" s="1"/>
  <c r="N7" i="35"/>
  <c r="M7" i="35"/>
  <c r="L7" i="35"/>
  <c r="K7" i="35"/>
  <c r="I364" i="1" s="1"/>
  <c r="J7" i="35"/>
  <c r="I7" i="35"/>
  <c r="H7" i="35"/>
  <c r="G7" i="35"/>
  <c r="E364" i="1" s="1"/>
  <c r="F7" i="35"/>
  <c r="E7" i="35"/>
  <c r="D7" i="35"/>
  <c r="C7" i="35"/>
  <c r="B7" i="35"/>
  <c r="A7" i="35"/>
  <c r="S6" i="35"/>
  <c r="R6" i="35"/>
  <c r="P363" i="1" s="1"/>
  <c r="Q6" i="35"/>
  <c r="P6" i="35"/>
  <c r="O6" i="35"/>
  <c r="N6" i="35"/>
  <c r="L363" i="1" s="1"/>
  <c r="M6" i="35"/>
  <c r="L6" i="35"/>
  <c r="K6" i="35"/>
  <c r="J6" i="35"/>
  <c r="H363" i="1" s="1"/>
  <c r="I6" i="35"/>
  <c r="H6" i="35"/>
  <c r="G6" i="35"/>
  <c r="F6" i="35"/>
  <c r="D363" i="1" s="1"/>
  <c r="E6" i="35"/>
  <c r="D6" i="35"/>
  <c r="C6" i="35"/>
  <c r="B6" i="35"/>
  <c r="D363" i="3" s="1"/>
  <c r="A6" i="35"/>
  <c r="S5" i="35"/>
  <c r="R5" i="35"/>
  <c r="Q5" i="35"/>
  <c r="O362" i="1" s="1"/>
  <c r="P5" i="35"/>
  <c r="O5" i="35"/>
  <c r="N5" i="35"/>
  <c r="M5" i="35"/>
  <c r="K362" i="1" s="1"/>
  <c r="L5" i="35"/>
  <c r="K5" i="35"/>
  <c r="J5" i="35"/>
  <c r="I5" i="35"/>
  <c r="G362" i="1" s="1"/>
  <c r="H5" i="35"/>
  <c r="G5" i="35"/>
  <c r="F5" i="35"/>
  <c r="E5" i="35"/>
  <c r="G362" i="3" s="1"/>
  <c r="D5" i="35"/>
  <c r="C5" i="35"/>
  <c r="B5" i="35"/>
  <c r="A5" i="35"/>
  <c r="S4" i="35"/>
  <c r="R4" i="35"/>
  <c r="Q4" i="35"/>
  <c r="P4" i="35"/>
  <c r="N361" i="1" s="1"/>
  <c r="O4" i="35"/>
  <c r="N4" i="35"/>
  <c r="M4" i="35"/>
  <c r="L4" i="35"/>
  <c r="J361" i="1" s="1"/>
  <c r="K4" i="35"/>
  <c r="J4" i="35"/>
  <c r="I4" i="35"/>
  <c r="H4" i="35"/>
  <c r="F361" i="1" s="1"/>
  <c r="G4" i="35"/>
  <c r="F4" i="35"/>
  <c r="E4" i="35"/>
  <c r="D4" i="35"/>
  <c r="F361" i="3" s="1"/>
  <c r="C4" i="35"/>
  <c r="B4" i="35"/>
  <c r="A4" i="35"/>
  <c r="S3" i="35"/>
  <c r="Q360" i="1" s="1"/>
  <c r="R3" i="35"/>
  <c r="Q3" i="35"/>
  <c r="P3" i="35"/>
  <c r="O3" i="35"/>
  <c r="M360" i="1" s="1"/>
  <c r="N3" i="35"/>
  <c r="M3" i="35"/>
  <c r="L3" i="35"/>
  <c r="K3" i="35"/>
  <c r="I360" i="1" s="1"/>
  <c r="J3" i="35"/>
  <c r="I3" i="35"/>
  <c r="H3" i="35"/>
  <c r="G3" i="35"/>
  <c r="E360" i="1" s="1"/>
  <c r="F3" i="35"/>
  <c r="E3" i="35"/>
  <c r="D3" i="35"/>
  <c r="C3" i="35"/>
  <c r="B3" i="35"/>
  <c r="A3" i="35"/>
  <c r="S2" i="35"/>
  <c r="R2" i="35"/>
  <c r="P359" i="1" s="1"/>
  <c r="Q2" i="35"/>
  <c r="P2" i="35"/>
  <c r="O2" i="35"/>
  <c r="N2" i="35"/>
  <c r="L359" i="1" s="1"/>
  <c r="M2" i="35"/>
  <c r="L2" i="35"/>
  <c r="K2" i="35"/>
  <c r="J2" i="35"/>
  <c r="H359" i="1" s="1"/>
  <c r="I2" i="35"/>
  <c r="H2" i="35"/>
  <c r="G2" i="35"/>
  <c r="F2" i="35"/>
  <c r="D359" i="1" s="1"/>
  <c r="E2" i="35"/>
  <c r="D2" i="35"/>
  <c r="C2" i="35"/>
  <c r="B2" i="35"/>
  <c r="D359" i="3" s="1"/>
  <c r="A2" i="35"/>
  <c r="S1" i="35"/>
  <c r="R1" i="35"/>
  <c r="Q1" i="35"/>
  <c r="P1" i="35"/>
  <c r="O1" i="35"/>
  <c r="N1" i="35"/>
  <c r="M1" i="35"/>
  <c r="L1" i="35"/>
  <c r="K1" i="35"/>
  <c r="J1" i="35"/>
  <c r="I1" i="35"/>
  <c r="H1" i="35"/>
  <c r="G1" i="35"/>
  <c r="F1" i="35"/>
  <c r="E1" i="35"/>
  <c r="D1" i="35"/>
  <c r="C1" i="35"/>
  <c r="B1" i="35"/>
  <c r="A1" i="35"/>
  <c r="S39" i="34"/>
  <c r="R39" i="34"/>
  <c r="Q39" i="34"/>
  <c r="P39" i="34"/>
  <c r="R358" i="2" s="1"/>
  <c r="O39" i="34"/>
  <c r="N39" i="34"/>
  <c r="M39" i="34"/>
  <c r="L39" i="34"/>
  <c r="N358" i="2" s="1"/>
  <c r="K39" i="34"/>
  <c r="J39" i="34"/>
  <c r="I39" i="34"/>
  <c r="H39" i="34"/>
  <c r="J358" i="2" s="1"/>
  <c r="G39" i="34"/>
  <c r="F39" i="34"/>
  <c r="E39" i="34"/>
  <c r="D39" i="34"/>
  <c r="B39" i="34"/>
  <c r="A39" i="34"/>
  <c r="S38" i="34"/>
  <c r="R38" i="34"/>
  <c r="T357" i="2" s="1"/>
  <c r="Q38" i="34"/>
  <c r="P38" i="34"/>
  <c r="O38" i="34"/>
  <c r="N38" i="34"/>
  <c r="P357" i="2" s="1"/>
  <c r="M38" i="34"/>
  <c r="L38" i="34"/>
  <c r="K38" i="34"/>
  <c r="J38" i="34"/>
  <c r="L357" i="2" s="1"/>
  <c r="I38" i="34"/>
  <c r="H38" i="34"/>
  <c r="G38" i="34"/>
  <c r="F38" i="34"/>
  <c r="H357" i="2" s="1"/>
  <c r="E38" i="34"/>
  <c r="D38" i="34"/>
  <c r="B38" i="34"/>
  <c r="A38" i="34"/>
  <c r="S37" i="34"/>
  <c r="R37" i="34"/>
  <c r="Q37" i="34"/>
  <c r="P37" i="34"/>
  <c r="R356" i="2" s="1"/>
  <c r="O37" i="34"/>
  <c r="N37" i="34"/>
  <c r="M37" i="34"/>
  <c r="L37" i="34"/>
  <c r="N356" i="2" s="1"/>
  <c r="K37" i="34"/>
  <c r="J37" i="34"/>
  <c r="I37" i="34"/>
  <c r="H37" i="34"/>
  <c r="J356" i="2" s="1"/>
  <c r="G37" i="34"/>
  <c r="F37" i="34"/>
  <c r="E37" i="34"/>
  <c r="D37" i="34"/>
  <c r="B37" i="34"/>
  <c r="A37" i="34"/>
  <c r="S36" i="34"/>
  <c r="R36" i="34"/>
  <c r="T355" i="2" s="1"/>
  <c r="Q36" i="34"/>
  <c r="P36" i="34"/>
  <c r="O36" i="34"/>
  <c r="N36" i="34"/>
  <c r="P355" i="2" s="1"/>
  <c r="M36" i="34"/>
  <c r="L36" i="34"/>
  <c r="K36" i="34"/>
  <c r="J36" i="34"/>
  <c r="L355" i="2" s="1"/>
  <c r="I36" i="34"/>
  <c r="H36" i="34"/>
  <c r="G36" i="34"/>
  <c r="F36" i="34"/>
  <c r="H355" i="2" s="1"/>
  <c r="E36" i="34"/>
  <c r="D36" i="34"/>
  <c r="B36" i="34"/>
  <c r="A36" i="34"/>
  <c r="S35" i="34"/>
  <c r="R35" i="34"/>
  <c r="Q35" i="34"/>
  <c r="P35" i="34"/>
  <c r="R354" i="2" s="1"/>
  <c r="O35" i="34"/>
  <c r="N35" i="34"/>
  <c r="M35" i="34"/>
  <c r="L35" i="34"/>
  <c r="N354" i="2" s="1"/>
  <c r="K35" i="34"/>
  <c r="J35" i="34"/>
  <c r="I35" i="34"/>
  <c r="H35" i="34"/>
  <c r="J354" i="2" s="1"/>
  <c r="G35" i="34"/>
  <c r="F35" i="34"/>
  <c r="E35" i="34"/>
  <c r="D35" i="34"/>
  <c r="B35" i="34"/>
  <c r="A35" i="34"/>
  <c r="S34" i="34"/>
  <c r="R34" i="34"/>
  <c r="T353" i="2" s="1"/>
  <c r="Q34" i="34"/>
  <c r="P34" i="34"/>
  <c r="O34" i="34"/>
  <c r="N34" i="34"/>
  <c r="P353" i="2" s="1"/>
  <c r="M34" i="34"/>
  <c r="L34" i="34"/>
  <c r="K34" i="34"/>
  <c r="J34" i="34"/>
  <c r="L353" i="2" s="1"/>
  <c r="I34" i="34"/>
  <c r="H34" i="34"/>
  <c r="G34" i="34"/>
  <c r="F34" i="34"/>
  <c r="H353" i="2" s="1"/>
  <c r="E34" i="34"/>
  <c r="D34" i="34"/>
  <c r="B34" i="34"/>
  <c r="A34" i="34"/>
  <c r="S33" i="34"/>
  <c r="R33" i="34"/>
  <c r="Q33" i="34"/>
  <c r="P33" i="34"/>
  <c r="R352" i="2" s="1"/>
  <c r="O33" i="34"/>
  <c r="N33" i="34"/>
  <c r="M33" i="34"/>
  <c r="L33" i="34"/>
  <c r="N352" i="2" s="1"/>
  <c r="K33" i="34"/>
  <c r="J33" i="34"/>
  <c r="I33" i="34"/>
  <c r="H33" i="34"/>
  <c r="J352" i="2" s="1"/>
  <c r="G33" i="34"/>
  <c r="F33" i="34"/>
  <c r="E33" i="34"/>
  <c r="D33" i="34"/>
  <c r="B33" i="34"/>
  <c r="A33" i="34"/>
  <c r="S32" i="34"/>
  <c r="R32" i="34"/>
  <c r="T351" i="2" s="1"/>
  <c r="Q32" i="34"/>
  <c r="P32" i="34"/>
  <c r="O32" i="34"/>
  <c r="N32" i="34"/>
  <c r="P351" i="2" s="1"/>
  <c r="M32" i="34"/>
  <c r="L32" i="34"/>
  <c r="K32" i="34"/>
  <c r="J32" i="34"/>
  <c r="L351" i="2" s="1"/>
  <c r="I32" i="34"/>
  <c r="H32" i="34"/>
  <c r="G32" i="34"/>
  <c r="F32" i="34"/>
  <c r="H351" i="2" s="1"/>
  <c r="E32" i="34"/>
  <c r="D32" i="34"/>
  <c r="B32" i="34"/>
  <c r="A32" i="34"/>
  <c r="S31" i="34"/>
  <c r="R31" i="34"/>
  <c r="Q31" i="34"/>
  <c r="P31" i="34"/>
  <c r="R350" i="2" s="1"/>
  <c r="O31" i="34"/>
  <c r="N31" i="34"/>
  <c r="M31" i="34"/>
  <c r="L31" i="34"/>
  <c r="N350" i="2" s="1"/>
  <c r="K31" i="34"/>
  <c r="J31" i="34"/>
  <c r="I31" i="34"/>
  <c r="H31" i="34"/>
  <c r="J350" i="2" s="1"/>
  <c r="G31" i="34"/>
  <c r="F31" i="34"/>
  <c r="E31" i="34"/>
  <c r="D31" i="34"/>
  <c r="B31" i="34"/>
  <c r="A31" i="34"/>
  <c r="S30" i="34"/>
  <c r="R30" i="34"/>
  <c r="T349" i="2" s="1"/>
  <c r="Q30" i="34"/>
  <c r="P30" i="34"/>
  <c r="O30" i="34"/>
  <c r="N30" i="34"/>
  <c r="P349" i="2" s="1"/>
  <c r="M30" i="34"/>
  <c r="L30" i="34"/>
  <c r="K30" i="34"/>
  <c r="J30" i="34"/>
  <c r="L349" i="2" s="1"/>
  <c r="I30" i="34"/>
  <c r="H30" i="34"/>
  <c r="G30" i="34"/>
  <c r="F30" i="34"/>
  <c r="H349" i="2" s="1"/>
  <c r="E30" i="34"/>
  <c r="D30" i="34"/>
  <c r="B30" i="34"/>
  <c r="A30" i="34"/>
  <c r="S29" i="34"/>
  <c r="R29" i="34"/>
  <c r="Q29" i="34"/>
  <c r="P29" i="34"/>
  <c r="R348" i="2" s="1"/>
  <c r="O29" i="34"/>
  <c r="N29" i="34"/>
  <c r="M29" i="34"/>
  <c r="L29" i="34"/>
  <c r="N348" i="2" s="1"/>
  <c r="K29" i="34"/>
  <c r="J29" i="34"/>
  <c r="I29" i="34"/>
  <c r="H29" i="34"/>
  <c r="J348" i="2" s="1"/>
  <c r="G29" i="34"/>
  <c r="F29" i="34"/>
  <c r="E29" i="34"/>
  <c r="D29" i="34"/>
  <c r="B29" i="34"/>
  <c r="A29" i="34"/>
  <c r="S28" i="34"/>
  <c r="R28" i="34"/>
  <c r="T347" i="2" s="1"/>
  <c r="Q28" i="34"/>
  <c r="P28" i="34"/>
  <c r="O28" i="34"/>
  <c r="N28" i="34"/>
  <c r="P347" i="2" s="1"/>
  <c r="M28" i="34"/>
  <c r="L28" i="34"/>
  <c r="K28" i="34"/>
  <c r="J28" i="34"/>
  <c r="L347" i="2" s="1"/>
  <c r="I28" i="34"/>
  <c r="H28" i="34"/>
  <c r="G28" i="34"/>
  <c r="F28" i="34"/>
  <c r="H347" i="2" s="1"/>
  <c r="E28" i="34"/>
  <c r="D28" i="34"/>
  <c r="B28" i="34"/>
  <c r="A28" i="34"/>
  <c r="S27" i="34"/>
  <c r="R27" i="34"/>
  <c r="Q27" i="34"/>
  <c r="P27" i="34"/>
  <c r="R346" i="2" s="1"/>
  <c r="O27" i="34"/>
  <c r="N27" i="34"/>
  <c r="M27" i="34"/>
  <c r="L27" i="34"/>
  <c r="N346" i="2" s="1"/>
  <c r="K27" i="34"/>
  <c r="J27" i="34"/>
  <c r="I27" i="34"/>
  <c r="H27" i="34"/>
  <c r="J346" i="2" s="1"/>
  <c r="G27" i="34"/>
  <c r="F27" i="34"/>
  <c r="E27" i="34"/>
  <c r="D27" i="34"/>
  <c r="B27" i="34"/>
  <c r="A27" i="34"/>
  <c r="S26" i="34"/>
  <c r="R26" i="34"/>
  <c r="T345" i="2" s="1"/>
  <c r="Q26" i="34"/>
  <c r="P26" i="34"/>
  <c r="O26" i="34"/>
  <c r="N26" i="34"/>
  <c r="P345" i="2" s="1"/>
  <c r="M26" i="34"/>
  <c r="L26" i="34"/>
  <c r="K26" i="34"/>
  <c r="J26" i="34"/>
  <c r="L345" i="2" s="1"/>
  <c r="I26" i="34"/>
  <c r="H26" i="34"/>
  <c r="G26" i="34"/>
  <c r="F26" i="34"/>
  <c r="H345" i="2" s="1"/>
  <c r="E26" i="34"/>
  <c r="D26" i="34"/>
  <c r="B26" i="34"/>
  <c r="A26" i="34"/>
  <c r="S25" i="34"/>
  <c r="R25" i="34"/>
  <c r="Q25" i="34"/>
  <c r="P25" i="34"/>
  <c r="R344" i="2" s="1"/>
  <c r="O25" i="34"/>
  <c r="N25" i="34"/>
  <c r="M25" i="34"/>
  <c r="L25" i="34"/>
  <c r="N344" i="2" s="1"/>
  <c r="K25" i="34"/>
  <c r="J25" i="34"/>
  <c r="I25" i="34"/>
  <c r="H25" i="34"/>
  <c r="J344" i="2" s="1"/>
  <c r="G25" i="34"/>
  <c r="F25" i="34"/>
  <c r="E25" i="34"/>
  <c r="D25" i="34"/>
  <c r="B25" i="34"/>
  <c r="A25" i="34"/>
  <c r="S24" i="34"/>
  <c r="R24" i="34"/>
  <c r="T343" i="2" s="1"/>
  <c r="Q24" i="34"/>
  <c r="P24" i="34"/>
  <c r="O24" i="34"/>
  <c r="N24" i="34"/>
  <c r="P343" i="2" s="1"/>
  <c r="M24" i="34"/>
  <c r="L24" i="34"/>
  <c r="K24" i="34"/>
  <c r="J24" i="34"/>
  <c r="L343" i="2" s="1"/>
  <c r="I24" i="34"/>
  <c r="H24" i="34"/>
  <c r="G24" i="34"/>
  <c r="F24" i="34"/>
  <c r="H343" i="2" s="1"/>
  <c r="E24" i="34"/>
  <c r="D24" i="34"/>
  <c r="B24" i="34"/>
  <c r="A24" i="34"/>
  <c r="S23" i="34"/>
  <c r="R23" i="34"/>
  <c r="Q23" i="34"/>
  <c r="P23" i="34"/>
  <c r="R342" i="2" s="1"/>
  <c r="O23" i="34"/>
  <c r="N23" i="34"/>
  <c r="M23" i="34"/>
  <c r="L23" i="34"/>
  <c r="N342" i="2" s="1"/>
  <c r="K23" i="34"/>
  <c r="J23" i="34"/>
  <c r="I23" i="34"/>
  <c r="H23" i="34"/>
  <c r="J342" i="2" s="1"/>
  <c r="G23" i="34"/>
  <c r="F23" i="34"/>
  <c r="E23" i="34"/>
  <c r="D23" i="34"/>
  <c r="B23" i="34"/>
  <c r="A23" i="34"/>
  <c r="S22" i="34"/>
  <c r="R22" i="34"/>
  <c r="T341" i="2" s="1"/>
  <c r="Q22" i="34"/>
  <c r="P22" i="34"/>
  <c r="O22" i="34"/>
  <c r="N22" i="34"/>
  <c r="P341" i="2" s="1"/>
  <c r="M22" i="34"/>
  <c r="L22" i="34"/>
  <c r="K22" i="34"/>
  <c r="J22" i="34"/>
  <c r="L341" i="2" s="1"/>
  <c r="I22" i="34"/>
  <c r="H22" i="34"/>
  <c r="G22" i="34"/>
  <c r="F22" i="34"/>
  <c r="H341" i="2" s="1"/>
  <c r="E22" i="34"/>
  <c r="D22" i="34"/>
  <c r="B22" i="34"/>
  <c r="A22" i="34"/>
  <c r="S21" i="34"/>
  <c r="R21" i="34"/>
  <c r="Q21" i="34"/>
  <c r="P21" i="34"/>
  <c r="R340" i="2" s="1"/>
  <c r="O21" i="34"/>
  <c r="N21" i="34"/>
  <c r="M21" i="34"/>
  <c r="L21" i="34"/>
  <c r="N340" i="2" s="1"/>
  <c r="K21" i="34"/>
  <c r="J21" i="34"/>
  <c r="I21" i="34"/>
  <c r="H21" i="34"/>
  <c r="J340" i="2" s="1"/>
  <c r="G21" i="34"/>
  <c r="F21" i="34"/>
  <c r="E21" i="34"/>
  <c r="D21" i="34"/>
  <c r="B21" i="34"/>
  <c r="A21" i="34"/>
  <c r="S20" i="34"/>
  <c r="R20" i="34"/>
  <c r="T339" i="2" s="1"/>
  <c r="Q20" i="34"/>
  <c r="P20" i="34"/>
  <c r="O20" i="34"/>
  <c r="N20" i="34"/>
  <c r="P339" i="2" s="1"/>
  <c r="M20" i="34"/>
  <c r="L20" i="34"/>
  <c r="K20" i="34"/>
  <c r="J20" i="34"/>
  <c r="L339" i="2" s="1"/>
  <c r="I20" i="34"/>
  <c r="H20" i="34"/>
  <c r="G20" i="34"/>
  <c r="F20" i="34"/>
  <c r="H339" i="2" s="1"/>
  <c r="E20" i="34"/>
  <c r="D20" i="34"/>
  <c r="B20" i="34"/>
  <c r="A20" i="34"/>
  <c r="S19" i="34"/>
  <c r="R19" i="34"/>
  <c r="Q19" i="34"/>
  <c r="P19" i="34"/>
  <c r="R338" i="2" s="1"/>
  <c r="O19" i="34"/>
  <c r="N19" i="34"/>
  <c r="M19" i="34"/>
  <c r="L19" i="34"/>
  <c r="N338" i="2" s="1"/>
  <c r="K19" i="34"/>
  <c r="J19" i="34"/>
  <c r="I19" i="34"/>
  <c r="H19" i="34"/>
  <c r="J338" i="2" s="1"/>
  <c r="G19" i="34"/>
  <c r="F19" i="34"/>
  <c r="E19" i="34"/>
  <c r="D19" i="34"/>
  <c r="B19" i="34"/>
  <c r="A19" i="34"/>
  <c r="S18" i="34"/>
  <c r="R18" i="34"/>
  <c r="T337" i="2" s="1"/>
  <c r="Q18" i="34"/>
  <c r="P18" i="34"/>
  <c r="O18" i="34"/>
  <c r="N18" i="34"/>
  <c r="P337" i="2" s="1"/>
  <c r="M18" i="34"/>
  <c r="L18" i="34"/>
  <c r="K18" i="34"/>
  <c r="J18" i="34"/>
  <c r="L337" i="2" s="1"/>
  <c r="I18" i="34"/>
  <c r="H18" i="34"/>
  <c r="G18" i="34"/>
  <c r="F18" i="34"/>
  <c r="H337" i="2" s="1"/>
  <c r="E18" i="34"/>
  <c r="D18" i="34"/>
  <c r="B18" i="34"/>
  <c r="A18" i="34"/>
  <c r="S17" i="34"/>
  <c r="R17" i="34"/>
  <c r="Q17" i="34"/>
  <c r="P17" i="34"/>
  <c r="R336" i="2" s="1"/>
  <c r="O17" i="34"/>
  <c r="N17" i="34"/>
  <c r="M17" i="34"/>
  <c r="L17" i="34"/>
  <c r="N336" i="2" s="1"/>
  <c r="K17" i="34"/>
  <c r="J17" i="34"/>
  <c r="I17" i="34"/>
  <c r="H17" i="34"/>
  <c r="J336" i="2" s="1"/>
  <c r="G17" i="34"/>
  <c r="F17" i="34"/>
  <c r="E17" i="34"/>
  <c r="D17" i="34"/>
  <c r="B17" i="34"/>
  <c r="A17" i="34"/>
  <c r="S16" i="34"/>
  <c r="R16" i="34"/>
  <c r="T335" i="2" s="1"/>
  <c r="Q16" i="34"/>
  <c r="P16" i="34"/>
  <c r="O16" i="34"/>
  <c r="N16" i="34"/>
  <c r="P335" i="2" s="1"/>
  <c r="M16" i="34"/>
  <c r="L16" i="34"/>
  <c r="K16" i="34"/>
  <c r="J16" i="34"/>
  <c r="L335" i="2" s="1"/>
  <c r="I16" i="34"/>
  <c r="H16" i="34"/>
  <c r="G16" i="34"/>
  <c r="F16" i="34"/>
  <c r="H335" i="2" s="1"/>
  <c r="E16" i="34"/>
  <c r="D16" i="34"/>
  <c r="B16" i="34"/>
  <c r="A16" i="34"/>
  <c r="S15" i="34"/>
  <c r="R15" i="34"/>
  <c r="Q15" i="34"/>
  <c r="P15" i="34"/>
  <c r="R334" i="2" s="1"/>
  <c r="O15" i="34"/>
  <c r="N15" i="34"/>
  <c r="M15" i="34"/>
  <c r="L15" i="34"/>
  <c r="N334" i="2" s="1"/>
  <c r="K15" i="34"/>
  <c r="J15" i="34"/>
  <c r="I15" i="34"/>
  <c r="H15" i="34"/>
  <c r="J334" i="2" s="1"/>
  <c r="G15" i="34"/>
  <c r="F15" i="34"/>
  <c r="E15" i="34"/>
  <c r="D15" i="34"/>
  <c r="B15" i="34"/>
  <c r="A15" i="34"/>
  <c r="S14" i="34"/>
  <c r="R14" i="34"/>
  <c r="T333" i="2" s="1"/>
  <c r="Q14" i="34"/>
  <c r="P14" i="34"/>
  <c r="O14" i="34"/>
  <c r="N14" i="34"/>
  <c r="P333" i="2" s="1"/>
  <c r="M14" i="34"/>
  <c r="L14" i="34"/>
  <c r="K14" i="34"/>
  <c r="J14" i="34"/>
  <c r="L333" i="2" s="1"/>
  <c r="I14" i="34"/>
  <c r="H14" i="34"/>
  <c r="G14" i="34"/>
  <c r="F14" i="34"/>
  <c r="H333" i="2" s="1"/>
  <c r="E14" i="34"/>
  <c r="D14" i="34"/>
  <c r="B14" i="34"/>
  <c r="A14" i="34"/>
  <c r="S13" i="34"/>
  <c r="R13" i="34"/>
  <c r="Q13" i="34"/>
  <c r="P13" i="34"/>
  <c r="R332" i="2" s="1"/>
  <c r="O13" i="34"/>
  <c r="N13" i="34"/>
  <c r="M13" i="34"/>
  <c r="L13" i="34"/>
  <c r="N332" i="2" s="1"/>
  <c r="K13" i="34"/>
  <c r="J13" i="34"/>
  <c r="I13" i="34"/>
  <c r="H13" i="34"/>
  <c r="J332" i="2" s="1"/>
  <c r="G13" i="34"/>
  <c r="F13" i="34"/>
  <c r="E13" i="34"/>
  <c r="D13" i="34"/>
  <c r="B13" i="34"/>
  <c r="A13" i="34"/>
  <c r="S12" i="34"/>
  <c r="R12" i="34"/>
  <c r="T331" i="2" s="1"/>
  <c r="Q12" i="34"/>
  <c r="P12" i="34"/>
  <c r="O12" i="34"/>
  <c r="N12" i="34"/>
  <c r="P331" i="2" s="1"/>
  <c r="M12" i="34"/>
  <c r="L12" i="34"/>
  <c r="K12" i="34"/>
  <c r="J12" i="34"/>
  <c r="L331" i="2" s="1"/>
  <c r="I12" i="34"/>
  <c r="H12" i="34"/>
  <c r="G12" i="34"/>
  <c r="F12" i="34"/>
  <c r="H331" i="2" s="1"/>
  <c r="E12" i="34"/>
  <c r="D12" i="34"/>
  <c r="B12" i="34"/>
  <c r="A12" i="34"/>
  <c r="S11" i="34"/>
  <c r="R11" i="34"/>
  <c r="Q11" i="34"/>
  <c r="P11" i="34"/>
  <c r="R330" i="2" s="1"/>
  <c r="O11" i="34"/>
  <c r="N11" i="34"/>
  <c r="M11" i="34"/>
  <c r="L11" i="34"/>
  <c r="N330" i="2" s="1"/>
  <c r="K11" i="34"/>
  <c r="J11" i="34"/>
  <c r="I11" i="34"/>
  <c r="H11" i="34"/>
  <c r="J330" i="2" s="1"/>
  <c r="G11" i="34"/>
  <c r="F11" i="34"/>
  <c r="E11" i="34"/>
  <c r="D11" i="34"/>
  <c r="B11" i="34"/>
  <c r="A11" i="34"/>
  <c r="S10" i="34"/>
  <c r="R10" i="34"/>
  <c r="T329" i="2" s="1"/>
  <c r="Q10" i="34"/>
  <c r="P10" i="34"/>
  <c r="O10" i="34"/>
  <c r="N10" i="34"/>
  <c r="P329" i="2" s="1"/>
  <c r="M10" i="34"/>
  <c r="L10" i="34"/>
  <c r="K10" i="34"/>
  <c r="J10" i="34"/>
  <c r="L329" i="2" s="1"/>
  <c r="I10" i="34"/>
  <c r="H10" i="34"/>
  <c r="G10" i="34"/>
  <c r="F10" i="34"/>
  <c r="H329" i="2" s="1"/>
  <c r="E10" i="34"/>
  <c r="D10" i="34"/>
  <c r="B10" i="34"/>
  <c r="A10" i="34"/>
  <c r="S9" i="34"/>
  <c r="R9" i="34"/>
  <c r="Q9" i="34"/>
  <c r="P9" i="34"/>
  <c r="R328" i="2" s="1"/>
  <c r="O9" i="34"/>
  <c r="N9" i="34"/>
  <c r="M9" i="34"/>
  <c r="L9" i="34"/>
  <c r="N328" i="2" s="1"/>
  <c r="K9" i="34"/>
  <c r="J9" i="34"/>
  <c r="I9" i="34"/>
  <c r="H9" i="34"/>
  <c r="J328" i="2" s="1"/>
  <c r="G9" i="34"/>
  <c r="F9" i="34"/>
  <c r="E9" i="34"/>
  <c r="D9" i="34"/>
  <c r="B9" i="34"/>
  <c r="A9" i="34"/>
  <c r="S8" i="34"/>
  <c r="R8" i="34"/>
  <c r="T327" i="2" s="1"/>
  <c r="Q8" i="34"/>
  <c r="P8" i="34"/>
  <c r="O8" i="34"/>
  <c r="N8" i="34"/>
  <c r="P327" i="2" s="1"/>
  <c r="M8" i="34"/>
  <c r="L8" i="34"/>
  <c r="K8" i="34"/>
  <c r="J8" i="34"/>
  <c r="L327" i="2" s="1"/>
  <c r="I8" i="34"/>
  <c r="H8" i="34"/>
  <c r="G8" i="34"/>
  <c r="F8" i="34"/>
  <c r="H327" i="2" s="1"/>
  <c r="E8" i="34"/>
  <c r="D8" i="34"/>
  <c r="B8" i="34"/>
  <c r="A8" i="34"/>
  <c r="S7" i="34"/>
  <c r="R7" i="34"/>
  <c r="Q7" i="34"/>
  <c r="P7" i="34"/>
  <c r="R326" i="2" s="1"/>
  <c r="O7" i="34"/>
  <c r="N7" i="34"/>
  <c r="M7" i="34"/>
  <c r="L7" i="34"/>
  <c r="N326" i="2" s="1"/>
  <c r="K7" i="34"/>
  <c r="J7" i="34"/>
  <c r="I7" i="34"/>
  <c r="H7" i="34"/>
  <c r="J326" i="2" s="1"/>
  <c r="G7" i="34"/>
  <c r="F7" i="34"/>
  <c r="E7" i="34"/>
  <c r="D7" i="34"/>
  <c r="B7" i="34"/>
  <c r="A7" i="34"/>
  <c r="S6" i="34"/>
  <c r="R6" i="34"/>
  <c r="T325" i="2" s="1"/>
  <c r="Q6" i="34"/>
  <c r="P6" i="34"/>
  <c r="O6" i="34"/>
  <c r="N6" i="34"/>
  <c r="P325" i="2" s="1"/>
  <c r="M6" i="34"/>
  <c r="L6" i="34"/>
  <c r="K6" i="34"/>
  <c r="J6" i="34"/>
  <c r="L325" i="2" s="1"/>
  <c r="I6" i="34"/>
  <c r="H6" i="34"/>
  <c r="G6" i="34"/>
  <c r="F6" i="34"/>
  <c r="H325" i="2" s="1"/>
  <c r="E6" i="34"/>
  <c r="D6" i="34"/>
  <c r="B6" i="34"/>
  <c r="A6" i="34"/>
  <c r="S5" i="34"/>
  <c r="R5" i="34"/>
  <c r="Q5" i="34"/>
  <c r="P5" i="34"/>
  <c r="R324" i="2" s="1"/>
  <c r="O5" i="34"/>
  <c r="N5" i="34"/>
  <c r="M5" i="34"/>
  <c r="L5" i="34"/>
  <c r="N324" i="2" s="1"/>
  <c r="K5" i="34"/>
  <c r="J5" i="34"/>
  <c r="I5" i="34"/>
  <c r="H5" i="34"/>
  <c r="J324" i="2" s="1"/>
  <c r="G5" i="34"/>
  <c r="F5" i="34"/>
  <c r="E5" i="34"/>
  <c r="D5" i="34"/>
  <c r="B5" i="34"/>
  <c r="A5" i="34"/>
  <c r="S4" i="34"/>
  <c r="R4" i="34"/>
  <c r="T323" i="2" s="1"/>
  <c r="Q4" i="34"/>
  <c r="P4" i="34"/>
  <c r="O4" i="34"/>
  <c r="N4" i="34"/>
  <c r="P323" i="2" s="1"/>
  <c r="M4" i="34"/>
  <c r="L4" i="34"/>
  <c r="K4" i="34"/>
  <c r="J4" i="34"/>
  <c r="L323" i="2" s="1"/>
  <c r="I4" i="34"/>
  <c r="H4" i="34"/>
  <c r="G4" i="34"/>
  <c r="F4" i="34"/>
  <c r="H323" i="2" s="1"/>
  <c r="E4" i="34"/>
  <c r="D4" i="34"/>
  <c r="B4" i="34"/>
  <c r="A4" i="34"/>
  <c r="S3" i="34"/>
  <c r="R3" i="34"/>
  <c r="Q3" i="34"/>
  <c r="P3" i="34"/>
  <c r="R322" i="2" s="1"/>
  <c r="O3" i="34"/>
  <c r="N3" i="34"/>
  <c r="M3" i="34"/>
  <c r="L3" i="34"/>
  <c r="N322" i="2" s="1"/>
  <c r="K3" i="34"/>
  <c r="J3" i="34"/>
  <c r="I3" i="34"/>
  <c r="H3" i="34"/>
  <c r="J322" i="2" s="1"/>
  <c r="G3" i="34"/>
  <c r="F3" i="34"/>
  <c r="E3" i="34"/>
  <c r="D3" i="34"/>
  <c r="B3" i="34"/>
  <c r="A3" i="34"/>
  <c r="S2" i="34"/>
  <c r="R2" i="34"/>
  <c r="T321" i="2" s="1"/>
  <c r="Q2" i="34"/>
  <c r="P2" i="34"/>
  <c r="O2" i="34"/>
  <c r="N2" i="34"/>
  <c r="P321" i="2" s="1"/>
  <c r="M2" i="34"/>
  <c r="L2" i="34"/>
  <c r="K2" i="34"/>
  <c r="J2" i="34"/>
  <c r="L321" i="2" s="1"/>
  <c r="I2" i="34"/>
  <c r="H2" i="34"/>
  <c r="G2" i="34"/>
  <c r="F2" i="34"/>
  <c r="H321" i="2" s="1"/>
  <c r="E2" i="34"/>
  <c r="D2" i="34"/>
  <c r="B2" i="34"/>
  <c r="A2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B1" i="34"/>
  <c r="A1" i="34"/>
  <c r="S39" i="33"/>
  <c r="Q358" i="1" s="1"/>
  <c r="R39" i="33"/>
  <c r="Q39" i="33"/>
  <c r="P39" i="33"/>
  <c r="O39" i="33"/>
  <c r="M358" i="1" s="1"/>
  <c r="N39" i="33"/>
  <c r="M39" i="33"/>
  <c r="L39" i="33"/>
  <c r="K39" i="33"/>
  <c r="I358" i="1" s="1"/>
  <c r="J39" i="33"/>
  <c r="I39" i="33"/>
  <c r="H39" i="33"/>
  <c r="G39" i="33"/>
  <c r="E358" i="1" s="1"/>
  <c r="F39" i="33"/>
  <c r="E39" i="33"/>
  <c r="D39" i="33"/>
  <c r="C39" i="33"/>
  <c r="B39" i="33"/>
  <c r="A39" i="33"/>
  <c r="S38" i="33"/>
  <c r="R38" i="33"/>
  <c r="P357" i="1" s="1"/>
  <c r="Q38" i="33"/>
  <c r="P38" i="33"/>
  <c r="O38" i="33"/>
  <c r="N38" i="33"/>
  <c r="L357" i="1" s="1"/>
  <c r="M38" i="33"/>
  <c r="L38" i="33"/>
  <c r="K38" i="33"/>
  <c r="J38" i="33"/>
  <c r="H357" i="1" s="1"/>
  <c r="I38" i="33"/>
  <c r="H38" i="33"/>
  <c r="G38" i="33"/>
  <c r="F38" i="33"/>
  <c r="D357" i="1" s="1"/>
  <c r="E38" i="33"/>
  <c r="D38" i="33"/>
  <c r="C38" i="33"/>
  <c r="B38" i="33"/>
  <c r="D357" i="3" s="1"/>
  <c r="A38" i="33"/>
  <c r="S37" i="33"/>
  <c r="R37" i="33"/>
  <c r="Q37" i="33"/>
  <c r="O356" i="1" s="1"/>
  <c r="P37" i="33"/>
  <c r="O37" i="33"/>
  <c r="N37" i="33"/>
  <c r="M37" i="33"/>
  <c r="K356" i="1" s="1"/>
  <c r="L37" i="33"/>
  <c r="K37" i="33"/>
  <c r="J37" i="33"/>
  <c r="I37" i="33"/>
  <c r="G356" i="1" s="1"/>
  <c r="H37" i="33"/>
  <c r="G37" i="33"/>
  <c r="F37" i="33"/>
  <c r="E37" i="33"/>
  <c r="D37" i="33"/>
  <c r="C37" i="33"/>
  <c r="B37" i="33"/>
  <c r="A37" i="33"/>
  <c r="S36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A36" i="33"/>
  <c r="S35" i="33"/>
  <c r="Q354" i="1" s="1"/>
  <c r="R35" i="33"/>
  <c r="Q35" i="33"/>
  <c r="P35" i="33"/>
  <c r="O35" i="33"/>
  <c r="M354" i="1" s="1"/>
  <c r="N35" i="33"/>
  <c r="M35" i="33"/>
  <c r="L35" i="33"/>
  <c r="K35" i="33"/>
  <c r="I354" i="1" s="1"/>
  <c r="J35" i="33"/>
  <c r="I35" i="33"/>
  <c r="H35" i="33"/>
  <c r="G35" i="33"/>
  <c r="E354" i="1" s="1"/>
  <c r="F35" i="33"/>
  <c r="E35" i="33"/>
  <c r="D35" i="33"/>
  <c r="C35" i="33"/>
  <c r="B35" i="33"/>
  <c r="A35" i="33"/>
  <c r="S34" i="33"/>
  <c r="R34" i="33"/>
  <c r="P353" i="1" s="1"/>
  <c r="Q34" i="33"/>
  <c r="P34" i="33"/>
  <c r="O34" i="33"/>
  <c r="N34" i="33"/>
  <c r="L353" i="1" s="1"/>
  <c r="M34" i="33"/>
  <c r="L34" i="33"/>
  <c r="K34" i="33"/>
  <c r="J34" i="33"/>
  <c r="H353" i="1" s="1"/>
  <c r="I34" i="33"/>
  <c r="H34" i="33"/>
  <c r="G34" i="33"/>
  <c r="F34" i="33"/>
  <c r="D353" i="1" s="1"/>
  <c r="E34" i="33"/>
  <c r="D34" i="33"/>
  <c r="C34" i="33"/>
  <c r="B34" i="33"/>
  <c r="D353" i="3" s="1"/>
  <c r="A34" i="33"/>
  <c r="S33" i="33"/>
  <c r="R33" i="33"/>
  <c r="Q33" i="33"/>
  <c r="O352" i="1" s="1"/>
  <c r="P33" i="33"/>
  <c r="O33" i="33"/>
  <c r="N33" i="33"/>
  <c r="M33" i="33"/>
  <c r="K352" i="1" s="1"/>
  <c r="L33" i="33"/>
  <c r="K33" i="33"/>
  <c r="J33" i="33"/>
  <c r="I33" i="33"/>
  <c r="G352" i="1" s="1"/>
  <c r="H33" i="33"/>
  <c r="G33" i="33"/>
  <c r="F33" i="33"/>
  <c r="E33" i="33"/>
  <c r="D33" i="33"/>
  <c r="C33" i="33"/>
  <c r="B33" i="33"/>
  <c r="A33" i="33"/>
  <c r="S32" i="33"/>
  <c r="R32" i="33"/>
  <c r="Q32" i="33"/>
  <c r="P32" i="33"/>
  <c r="N351" i="1" s="1"/>
  <c r="O32" i="33"/>
  <c r="N32" i="33"/>
  <c r="M32" i="33"/>
  <c r="L32" i="33"/>
  <c r="J351" i="1" s="1"/>
  <c r="K32" i="33"/>
  <c r="J32" i="33"/>
  <c r="I32" i="33"/>
  <c r="H32" i="33"/>
  <c r="F351" i="1" s="1"/>
  <c r="G32" i="33"/>
  <c r="F32" i="33"/>
  <c r="E32" i="33"/>
  <c r="D32" i="33"/>
  <c r="C32" i="33"/>
  <c r="B32" i="33"/>
  <c r="A32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A31" i="33"/>
  <c r="S30" i="33"/>
  <c r="R30" i="33"/>
  <c r="Q30" i="33"/>
  <c r="P30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D349" i="3" s="1"/>
  <c r="A30" i="33"/>
  <c r="S29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A29" i="33"/>
  <c r="S28" i="33"/>
  <c r="R28" i="33"/>
  <c r="Q28" i="33"/>
  <c r="P28" i="33"/>
  <c r="R40" i="3" s="1"/>
  <c r="O28" i="33"/>
  <c r="N28" i="33"/>
  <c r="M28" i="33"/>
  <c r="L28" i="33"/>
  <c r="N40" i="3" s="1"/>
  <c r="K28" i="33"/>
  <c r="J28" i="33"/>
  <c r="I28" i="33"/>
  <c r="H28" i="33"/>
  <c r="J40" i="3" s="1"/>
  <c r="G28" i="33"/>
  <c r="F28" i="33"/>
  <c r="E28" i="33"/>
  <c r="D28" i="33"/>
  <c r="C28" i="33"/>
  <c r="B28" i="33"/>
  <c r="A28" i="33"/>
  <c r="S27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A27" i="33"/>
  <c r="S26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D345" i="3" s="1"/>
  <c r="A26" i="33"/>
  <c r="S25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A25" i="33"/>
  <c r="S24" i="33"/>
  <c r="R24" i="33"/>
  <c r="Q24" i="33"/>
  <c r="P24" i="33"/>
  <c r="R36" i="3" s="1"/>
  <c r="O24" i="33"/>
  <c r="N24" i="33"/>
  <c r="M24" i="33"/>
  <c r="L24" i="33"/>
  <c r="N36" i="3" s="1"/>
  <c r="K24" i="33"/>
  <c r="J24" i="33"/>
  <c r="I24" i="33"/>
  <c r="H24" i="33"/>
  <c r="J36" i="3" s="1"/>
  <c r="G24" i="33"/>
  <c r="F24" i="33"/>
  <c r="E24" i="33"/>
  <c r="D24" i="33"/>
  <c r="C24" i="33"/>
  <c r="B24" i="33"/>
  <c r="A24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A23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D341" i="3" s="1"/>
  <c r="A22" i="33"/>
  <c r="S21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A21" i="33"/>
  <c r="S20" i="33"/>
  <c r="R20" i="33"/>
  <c r="Q20" i="33"/>
  <c r="P20" i="33"/>
  <c r="R32" i="3" s="1"/>
  <c r="O20" i="33"/>
  <c r="N20" i="33"/>
  <c r="M20" i="33"/>
  <c r="L20" i="33"/>
  <c r="N32" i="3" s="1"/>
  <c r="K20" i="33"/>
  <c r="J20" i="33"/>
  <c r="I20" i="33"/>
  <c r="H20" i="33"/>
  <c r="J32" i="3" s="1"/>
  <c r="G20" i="33"/>
  <c r="F20" i="33"/>
  <c r="E20" i="33"/>
  <c r="D20" i="33"/>
  <c r="C20" i="33"/>
  <c r="B20" i="33"/>
  <c r="A20" i="33"/>
  <c r="S19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A19" i="33"/>
  <c r="S18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D337" i="3" s="1"/>
  <c r="A18" i="33"/>
  <c r="S17" i="33"/>
  <c r="R17" i="33"/>
  <c r="Q17" i="33"/>
  <c r="P17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A17" i="33"/>
  <c r="S16" i="33"/>
  <c r="R16" i="33"/>
  <c r="Q16" i="33"/>
  <c r="P16" i="33"/>
  <c r="R28" i="3" s="1"/>
  <c r="O16" i="33"/>
  <c r="N16" i="33"/>
  <c r="M16" i="33"/>
  <c r="L16" i="33"/>
  <c r="N28" i="3" s="1"/>
  <c r="K16" i="33"/>
  <c r="J16" i="33"/>
  <c r="I16" i="33"/>
  <c r="H16" i="33"/>
  <c r="J28" i="3" s="1"/>
  <c r="G16" i="33"/>
  <c r="F16" i="33"/>
  <c r="E16" i="33"/>
  <c r="D16" i="33"/>
  <c r="C16" i="33"/>
  <c r="B16" i="33"/>
  <c r="A16" i="33"/>
  <c r="S15" i="33"/>
  <c r="Q334" i="1" s="1"/>
  <c r="R15" i="33"/>
  <c r="Q15" i="33"/>
  <c r="P15" i="33"/>
  <c r="O15" i="33"/>
  <c r="M334" i="1" s="1"/>
  <c r="N15" i="33"/>
  <c r="M15" i="33"/>
  <c r="L15" i="33"/>
  <c r="K15" i="33"/>
  <c r="I334" i="1" s="1"/>
  <c r="J15" i="33"/>
  <c r="I15" i="33"/>
  <c r="H15" i="33"/>
  <c r="G15" i="33"/>
  <c r="E334" i="1" s="1"/>
  <c r="F15" i="33"/>
  <c r="E15" i="33"/>
  <c r="D15" i="33"/>
  <c r="C15" i="33"/>
  <c r="B15" i="33"/>
  <c r="A15" i="33"/>
  <c r="S14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D333" i="3" s="1"/>
  <c r="A14" i="33"/>
  <c r="S13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A13" i="33"/>
  <c r="S12" i="33"/>
  <c r="R12" i="33"/>
  <c r="Q12" i="33"/>
  <c r="P12" i="33"/>
  <c r="R24" i="3" s="1"/>
  <c r="O12" i="33"/>
  <c r="N12" i="33"/>
  <c r="M12" i="33"/>
  <c r="L12" i="33"/>
  <c r="N24" i="3" s="1"/>
  <c r="K12" i="33"/>
  <c r="J12" i="33"/>
  <c r="I12" i="33"/>
  <c r="H12" i="33"/>
  <c r="J24" i="3" s="1"/>
  <c r="G12" i="33"/>
  <c r="F12" i="33"/>
  <c r="E12" i="33"/>
  <c r="D12" i="33"/>
  <c r="C12" i="33"/>
  <c r="B12" i="33"/>
  <c r="A12" i="33"/>
  <c r="S11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A11" i="33"/>
  <c r="S10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D329" i="3" s="1"/>
  <c r="A10" i="33"/>
  <c r="S9" i="33"/>
  <c r="R9" i="33"/>
  <c r="Q9" i="33"/>
  <c r="P9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B9" i="33"/>
  <c r="A9" i="33"/>
  <c r="S8" i="33"/>
  <c r="R8" i="33"/>
  <c r="Q8" i="33"/>
  <c r="P8" i="33"/>
  <c r="R20" i="3" s="1"/>
  <c r="O8" i="33"/>
  <c r="N8" i="33"/>
  <c r="M8" i="33"/>
  <c r="L8" i="33"/>
  <c r="N20" i="3" s="1"/>
  <c r="K8" i="33"/>
  <c r="J8" i="33"/>
  <c r="I8" i="33"/>
  <c r="H8" i="33"/>
  <c r="J20" i="3" s="1"/>
  <c r="G8" i="33"/>
  <c r="F8" i="33"/>
  <c r="E8" i="33"/>
  <c r="D8" i="33"/>
  <c r="C8" i="33"/>
  <c r="B8" i="33"/>
  <c r="A8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B7" i="33"/>
  <c r="A7" i="33"/>
  <c r="S6" i="33"/>
  <c r="R6" i="33"/>
  <c r="Q6" i="33"/>
  <c r="P6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6" i="33"/>
  <c r="D325" i="3" s="1"/>
  <c r="A6" i="33"/>
  <c r="S5" i="33"/>
  <c r="R5" i="33"/>
  <c r="Q5" i="33"/>
  <c r="P5" i="33"/>
  <c r="O5" i="33"/>
  <c r="N5" i="33"/>
  <c r="M5" i="33"/>
  <c r="L5" i="33"/>
  <c r="K5" i="33"/>
  <c r="J5" i="33"/>
  <c r="I5" i="33"/>
  <c r="H5" i="33"/>
  <c r="G5" i="33"/>
  <c r="F5" i="33"/>
  <c r="E5" i="33"/>
  <c r="D5" i="33"/>
  <c r="C5" i="33"/>
  <c r="B5" i="33"/>
  <c r="A5" i="33"/>
  <c r="S4" i="33"/>
  <c r="R4" i="33"/>
  <c r="Q4" i="33"/>
  <c r="P4" i="33"/>
  <c r="R16" i="3" s="1"/>
  <c r="O4" i="33"/>
  <c r="N4" i="33"/>
  <c r="M4" i="33"/>
  <c r="L4" i="33"/>
  <c r="N16" i="3" s="1"/>
  <c r="K4" i="33"/>
  <c r="J4" i="33"/>
  <c r="I4" i="33"/>
  <c r="H4" i="33"/>
  <c r="J16" i="3" s="1"/>
  <c r="G4" i="33"/>
  <c r="F4" i="33"/>
  <c r="E4" i="33"/>
  <c r="D4" i="33"/>
  <c r="C4" i="33"/>
  <c r="B4" i="33"/>
  <c r="A4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3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D321" i="3" s="1"/>
  <c r="A2" i="33"/>
  <c r="S1" i="33"/>
  <c r="R1" i="33"/>
  <c r="Q1" i="33"/>
  <c r="P1" i="33"/>
  <c r="O1" i="33"/>
  <c r="N1" i="33"/>
  <c r="M1" i="33"/>
  <c r="L1" i="33"/>
  <c r="K1" i="33"/>
  <c r="J1" i="33"/>
  <c r="I1" i="33"/>
  <c r="H1" i="33"/>
  <c r="G1" i="33"/>
  <c r="F1" i="33"/>
  <c r="E1" i="33"/>
  <c r="D1" i="33"/>
  <c r="C1" i="33"/>
  <c r="B1" i="33"/>
  <c r="A1" i="33"/>
  <c r="S87" i="32"/>
  <c r="R87" i="32"/>
  <c r="Q87" i="32"/>
  <c r="P87" i="32"/>
  <c r="R320" i="2" s="1"/>
  <c r="O87" i="32"/>
  <c r="N87" i="32"/>
  <c r="M87" i="32"/>
  <c r="L87" i="32"/>
  <c r="N320" i="2" s="1"/>
  <c r="K87" i="32"/>
  <c r="J87" i="32"/>
  <c r="I87" i="32"/>
  <c r="H87" i="32"/>
  <c r="J320" i="2" s="1"/>
  <c r="G87" i="32"/>
  <c r="F87" i="32"/>
  <c r="E87" i="32"/>
  <c r="D87" i="32"/>
  <c r="B87" i="32"/>
  <c r="A87" i="32"/>
  <c r="S86" i="32"/>
  <c r="R86" i="32"/>
  <c r="T319" i="2" s="1"/>
  <c r="Q86" i="32"/>
  <c r="P86" i="32"/>
  <c r="O86" i="32"/>
  <c r="N86" i="32"/>
  <c r="P319" i="2" s="1"/>
  <c r="M86" i="32"/>
  <c r="L86" i="32"/>
  <c r="K86" i="32"/>
  <c r="J86" i="32"/>
  <c r="L319" i="2" s="1"/>
  <c r="I86" i="32"/>
  <c r="H86" i="32"/>
  <c r="G86" i="32"/>
  <c r="F86" i="32"/>
  <c r="H319" i="2" s="1"/>
  <c r="E86" i="32"/>
  <c r="D86" i="32"/>
  <c r="B86" i="32"/>
  <c r="A86" i="32"/>
  <c r="S85" i="32"/>
  <c r="R85" i="32"/>
  <c r="Q85" i="32"/>
  <c r="P85" i="32"/>
  <c r="R318" i="2" s="1"/>
  <c r="O85" i="32"/>
  <c r="N85" i="32"/>
  <c r="M85" i="32"/>
  <c r="L85" i="32"/>
  <c r="N318" i="2" s="1"/>
  <c r="K85" i="32"/>
  <c r="J85" i="32"/>
  <c r="I85" i="32"/>
  <c r="H85" i="32"/>
  <c r="J318" i="2" s="1"/>
  <c r="G85" i="32"/>
  <c r="F85" i="32"/>
  <c r="E85" i="32"/>
  <c r="D85" i="32"/>
  <c r="B85" i="32"/>
  <c r="A85" i="32"/>
  <c r="S84" i="32"/>
  <c r="R84" i="32"/>
  <c r="T317" i="2" s="1"/>
  <c r="Q84" i="32"/>
  <c r="P84" i="32"/>
  <c r="O84" i="32"/>
  <c r="N84" i="32"/>
  <c r="P317" i="2" s="1"/>
  <c r="M84" i="32"/>
  <c r="L84" i="32"/>
  <c r="K84" i="32"/>
  <c r="J84" i="32"/>
  <c r="L317" i="2" s="1"/>
  <c r="I84" i="32"/>
  <c r="H84" i="32"/>
  <c r="G84" i="32"/>
  <c r="F84" i="32"/>
  <c r="H317" i="2" s="1"/>
  <c r="E84" i="32"/>
  <c r="D84" i="32"/>
  <c r="B84" i="32"/>
  <c r="A84" i="32"/>
  <c r="S83" i="32"/>
  <c r="R83" i="32"/>
  <c r="Q83" i="32"/>
  <c r="P83" i="32"/>
  <c r="R316" i="2" s="1"/>
  <c r="O83" i="32"/>
  <c r="N83" i="32"/>
  <c r="M83" i="32"/>
  <c r="L83" i="32"/>
  <c r="N316" i="2" s="1"/>
  <c r="K83" i="32"/>
  <c r="J83" i="32"/>
  <c r="I83" i="32"/>
  <c r="H83" i="32"/>
  <c r="J316" i="2" s="1"/>
  <c r="G83" i="32"/>
  <c r="F83" i="32"/>
  <c r="E83" i="32"/>
  <c r="D83" i="32"/>
  <c r="B83" i="32"/>
  <c r="A83" i="32"/>
  <c r="S82" i="32"/>
  <c r="R82" i="32"/>
  <c r="T315" i="2" s="1"/>
  <c r="Q82" i="32"/>
  <c r="P82" i="32"/>
  <c r="O82" i="32"/>
  <c r="N82" i="32"/>
  <c r="P315" i="2" s="1"/>
  <c r="M82" i="32"/>
  <c r="L82" i="32"/>
  <c r="K82" i="32"/>
  <c r="J82" i="32"/>
  <c r="L315" i="2" s="1"/>
  <c r="I82" i="32"/>
  <c r="H82" i="32"/>
  <c r="G82" i="32"/>
  <c r="F82" i="32"/>
  <c r="H315" i="2" s="1"/>
  <c r="E82" i="32"/>
  <c r="D82" i="32"/>
  <c r="B82" i="32"/>
  <c r="A82" i="32"/>
  <c r="S81" i="32"/>
  <c r="R81" i="32"/>
  <c r="Q81" i="32"/>
  <c r="P81" i="32"/>
  <c r="R314" i="2" s="1"/>
  <c r="O81" i="32"/>
  <c r="N81" i="32"/>
  <c r="M81" i="32"/>
  <c r="L81" i="32"/>
  <c r="N314" i="2" s="1"/>
  <c r="K81" i="32"/>
  <c r="J81" i="32"/>
  <c r="I81" i="32"/>
  <c r="H81" i="32"/>
  <c r="J314" i="2" s="1"/>
  <c r="G81" i="32"/>
  <c r="F81" i="32"/>
  <c r="E81" i="32"/>
  <c r="D81" i="32"/>
  <c r="B81" i="32"/>
  <c r="A81" i="32"/>
  <c r="S80" i="32"/>
  <c r="R80" i="32"/>
  <c r="T313" i="2" s="1"/>
  <c r="Q80" i="32"/>
  <c r="P80" i="32"/>
  <c r="O80" i="32"/>
  <c r="N80" i="32"/>
  <c r="P313" i="2" s="1"/>
  <c r="M80" i="32"/>
  <c r="L80" i="32"/>
  <c r="K80" i="32"/>
  <c r="J80" i="32"/>
  <c r="L313" i="2" s="1"/>
  <c r="I80" i="32"/>
  <c r="H80" i="32"/>
  <c r="G80" i="32"/>
  <c r="F80" i="32"/>
  <c r="H313" i="2" s="1"/>
  <c r="E80" i="32"/>
  <c r="D80" i="32"/>
  <c r="B80" i="32"/>
  <c r="A80" i="32"/>
  <c r="S79" i="32"/>
  <c r="R79" i="32"/>
  <c r="Q79" i="32"/>
  <c r="P79" i="32"/>
  <c r="R312" i="2" s="1"/>
  <c r="O79" i="32"/>
  <c r="N79" i="32"/>
  <c r="M79" i="32"/>
  <c r="L79" i="32"/>
  <c r="N312" i="2" s="1"/>
  <c r="K79" i="32"/>
  <c r="J79" i="32"/>
  <c r="I79" i="32"/>
  <c r="H79" i="32"/>
  <c r="J312" i="2" s="1"/>
  <c r="G79" i="32"/>
  <c r="F79" i="32"/>
  <c r="E79" i="32"/>
  <c r="D79" i="32"/>
  <c r="B79" i="32"/>
  <c r="A79" i="32"/>
  <c r="S78" i="32"/>
  <c r="R78" i="32"/>
  <c r="Q78" i="32"/>
  <c r="P78" i="32"/>
  <c r="O78" i="32"/>
  <c r="N78" i="32"/>
  <c r="M78" i="32"/>
  <c r="L78" i="32"/>
  <c r="K78" i="32"/>
  <c r="J78" i="32"/>
  <c r="I78" i="32"/>
  <c r="H78" i="32"/>
  <c r="G78" i="32"/>
  <c r="F78" i="32"/>
  <c r="E78" i="32"/>
  <c r="D78" i="32"/>
  <c r="B78" i="32"/>
  <c r="A78" i="32"/>
  <c r="S77" i="32"/>
  <c r="R77" i="32"/>
  <c r="Q77" i="32"/>
  <c r="P77" i="32"/>
  <c r="R310" i="2" s="1"/>
  <c r="O77" i="32"/>
  <c r="N77" i="32"/>
  <c r="M77" i="32"/>
  <c r="L77" i="32"/>
  <c r="N310" i="2" s="1"/>
  <c r="K77" i="32"/>
  <c r="J77" i="32"/>
  <c r="I77" i="32"/>
  <c r="H77" i="32"/>
  <c r="J310" i="2" s="1"/>
  <c r="G77" i="32"/>
  <c r="F77" i="32"/>
  <c r="E77" i="32"/>
  <c r="D77" i="32"/>
  <c r="B77" i="32"/>
  <c r="A77" i="32"/>
  <c r="S76" i="32"/>
  <c r="R76" i="32"/>
  <c r="T309" i="2" s="1"/>
  <c r="Q76" i="32"/>
  <c r="P76" i="32"/>
  <c r="O76" i="32"/>
  <c r="N76" i="32"/>
  <c r="P309" i="2" s="1"/>
  <c r="M76" i="32"/>
  <c r="L76" i="32"/>
  <c r="K76" i="32"/>
  <c r="J76" i="32"/>
  <c r="L309" i="2" s="1"/>
  <c r="I76" i="32"/>
  <c r="H76" i="32"/>
  <c r="G76" i="32"/>
  <c r="F76" i="32"/>
  <c r="H309" i="2" s="1"/>
  <c r="E76" i="32"/>
  <c r="D76" i="32"/>
  <c r="B76" i="32"/>
  <c r="A76" i="32"/>
  <c r="S75" i="32"/>
  <c r="R75" i="32"/>
  <c r="Q75" i="32"/>
  <c r="P75" i="32"/>
  <c r="R308" i="2" s="1"/>
  <c r="O75" i="32"/>
  <c r="N75" i="32"/>
  <c r="M75" i="32"/>
  <c r="L75" i="32"/>
  <c r="N308" i="2" s="1"/>
  <c r="K75" i="32"/>
  <c r="J75" i="32"/>
  <c r="I75" i="32"/>
  <c r="H75" i="32"/>
  <c r="J308" i="2" s="1"/>
  <c r="G75" i="32"/>
  <c r="F75" i="32"/>
  <c r="E75" i="32"/>
  <c r="D75" i="32"/>
  <c r="B75" i="32"/>
  <c r="A75" i="32"/>
  <c r="S74" i="32"/>
  <c r="R74" i="32"/>
  <c r="T307" i="2" s="1"/>
  <c r="Q74" i="32"/>
  <c r="P74" i="32"/>
  <c r="O74" i="32"/>
  <c r="N74" i="32"/>
  <c r="P307" i="2" s="1"/>
  <c r="M74" i="32"/>
  <c r="L74" i="32"/>
  <c r="K74" i="32"/>
  <c r="J74" i="32"/>
  <c r="L307" i="2" s="1"/>
  <c r="I74" i="32"/>
  <c r="H74" i="32"/>
  <c r="G74" i="32"/>
  <c r="F74" i="32"/>
  <c r="H307" i="2" s="1"/>
  <c r="E74" i="32"/>
  <c r="D74" i="32"/>
  <c r="B74" i="32"/>
  <c r="A74" i="32"/>
  <c r="S73" i="32"/>
  <c r="R73" i="32"/>
  <c r="Q73" i="32"/>
  <c r="P73" i="32"/>
  <c r="R306" i="2" s="1"/>
  <c r="O73" i="32"/>
  <c r="N73" i="32"/>
  <c r="M73" i="32"/>
  <c r="L73" i="32"/>
  <c r="N306" i="2" s="1"/>
  <c r="K73" i="32"/>
  <c r="J73" i="32"/>
  <c r="I73" i="32"/>
  <c r="H73" i="32"/>
  <c r="J306" i="2" s="1"/>
  <c r="G73" i="32"/>
  <c r="F73" i="32"/>
  <c r="E73" i="32"/>
  <c r="D73" i="32"/>
  <c r="B73" i="32"/>
  <c r="A73" i="32"/>
  <c r="S72" i="32"/>
  <c r="R72" i="32"/>
  <c r="T305" i="2" s="1"/>
  <c r="Q72" i="32"/>
  <c r="P72" i="32"/>
  <c r="O72" i="32"/>
  <c r="N72" i="32"/>
  <c r="P305" i="2" s="1"/>
  <c r="M72" i="32"/>
  <c r="L72" i="32"/>
  <c r="K72" i="32"/>
  <c r="J72" i="32"/>
  <c r="L305" i="2" s="1"/>
  <c r="I72" i="32"/>
  <c r="H72" i="32"/>
  <c r="G72" i="32"/>
  <c r="F72" i="32"/>
  <c r="H305" i="2" s="1"/>
  <c r="E72" i="32"/>
  <c r="D72" i="32"/>
  <c r="B72" i="32"/>
  <c r="A72" i="32"/>
  <c r="S71" i="32"/>
  <c r="R71" i="32"/>
  <c r="Q71" i="32"/>
  <c r="P71" i="32"/>
  <c r="R304" i="2" s="1"/>
  <c r="O71" i="32"/>
  <c r="N71" i="32"/>
  <c r="M71" i="32"/>
  <c r="L71" i="32"/>
  <c r="N304" i="2" s="1"/>
  <c r="K71" i="32"/>
  <c r="J71" i="32"/>
  <c r="I71" i="32"/>
  <c r="H71" i="32"/>
  <c r="J304" i="2" s="1"/>
  <c r="G71" i="32"/>
  <c r="F71" i="32"/>
  <c r="E71" i="32"/>
  <c r="D71" i="32"/>
  <c r="B71" i="32"/>
  <c r="A71" i="32"/>
  <c r="S70" i="32"/>
  <c r="R70" i="32"/>
  <c r="T303" i="2" s="1"/>
  <c r="Q70" i="32"/>
  <c r="P70" i="32"/>
  <c r="O70" i="32"/>
  <c r="N70" i="32"/>
  <c r="P303" i="2" s="1"/>
  <c r="M70" i="32"/>
  <c r="L70" i="32"/>
  <c r="K70" i="32"/>
  <c r="J70" i="32"/>
  <c r="L303" i="2" s="1"/>
  <c r="I70" i="32"/>
  <c r="H70" i="32"/>
  <c r="G70" i="32"/>
  <c r="F70" i="32"/>
  <c r="H303" i="2" s="1"/>
  <c r="E70" i="32"/>
  <c r="D70" i="32"/>
  <c r="B70" i="32"/>
  <c r="A70" i="32"/>
  <c r="S69" i="32"/>
  <c r="R69" i="32"/>
  <c r="Q69" i="32"/>
  <c r="P69" i="32"/>
  <c r="R302" i="2" s="1"/>
  <c r="O69" i="32"/>
  <c r="N69" i="32"/>
  <c r="M69" i="32"/>
  <c r="L69" i="32"/>
  <c r="N302" i="2" s="1"/>
  <c r="K69" i="32"/>
  <c r="J69" i="32"/>
  <c r="I69" i="32"/>
  <c r="H69" i="32"/>
  <c r="J302" i="2" s="1"/>
  <c r="G69" i="32"/>
  <c r="F69" i="32"/>
  <c r="E69" i="32"/>
  <c r="D69" i="32"/>
  <c r="B69" i="32"/>
  <c r="A69" i="32"/>
  <c r="S68" i="32"/>
  <c r="R68" i="32"/>
  <c r="T301" i="2" s="1"/>
  <c r="Q68" i="32"/>
  <c r="P68" i="32"/>
  <c r="O68" i="32"/>
  <c r="N68" i="32"/>
  <c r="P301" i="2" s="1"/>
  <c r="M68" i="32"/>
  <c r="L68" i="32"/>
  <c r="K68" i="32"/>
  <c r="J68" i="32"/>
  <c r="L301" i="2" s="1"/>
  <c r="I68" i="32"/>
  <c r="H68" i="32"/>
  <c r="G68" i="32"/>
  <c r="F68" i="32"/>
  <c r="H301" i="2" s="1"/>
  <c r="E68" i="32"/>
  <c r="D68" i="32"/>
  <c r="B68" i="32"/>
  <c r="A68" i="32"/>
  <c r="S67" i="32"/>
  <c r="R67" i="32"/>
  <c r="Q67" i="32"/>
  <c r="P67" i="32"/>
  <c r="R300" i="2" s="1"/>
  <c r="O67" i="32"/>
  <c r="N67" i="32"/>
  <c r="M67" i="32"/>
  <c r="L67" i="32"/>
  <c r="N300" i="2" s="1"/>
  <c r="K67" i="32"/>
  <c r="J67" i="32"/>
  <c r="I67" i="32"/>
  <c r="H67" i="32"/>
  <c r="J300" i="2" s="1"/>
  <c r="G67" i="32"/>
  <c r="F67" i="32"/>
  <c r="E67" i="32"/>
  <c r="D67" i="32"/>
  <c r="B67" i="32"/>
  <c r="A67" i="32"/>
  <c r="S66" i="32"/>
  <c r="R66" i="32"/>
  <c r="T299" i="2" s="1"/>
  <c r="Q66" i="32"/>
  <c r="P66" i="32"/>
  <c r="O66" i="32"/>
  <c r="N66" i="32"/>
  <c r="P299" i="2" s="1"/>
  <c r="M66" i="32"/>
  <c r="L66" i="32"/>
  <c r="K66" i="32"/>
  <c r="J66" i="32"/>
  <c r="L299" i="2" s="1"/>
  <c r="I66" i="32"/>
  <c r="H66" i="32"/>
  <c r="G66" i="32"/>
  <c r="F66" i="32"/>
  <c r="H299" i="2" s="1"/>
  <c r="E66" i="32"/>
  <c r="D66" i="32"/>
  <c r="B66" i="32"/>
  <c r="A66" i="32"/>
  <c r="S65" i="32"/>
  <c r="R65" i="32"/>
  <c r="Q65" i="32"/>
  <c r="P65" i="32"/>
  <c r="R298" i="2" s="1"/>
  <c r="O65" i="32"/>
  <c r="N65" i="32"/>
  <c r="M65" i="32"/>
  <c r="L65" i="32"/>
  <c r="N298" i="2" s="1"/>
  <c r="K65" i="32"/>
  <c r="J65" i="32"/>
  <c r="I65" i="32"/>
  <c r="H65" i="32"/>
  <c r="J298" i="2" s="1"/>
  <c r="G65" i="32"/>
  <c r="F65" i="32"/>
  <c r="E65" i="32"/>
  <c r="D65" i="32"/>
  <c r="B65" i="32"/>
  <c r="A65" i="32"/>
  <c r="S64" i="32"/>
  <c r="R64" i="32"/>
  <c r="T297" i="2" s="1"/>
  <c r="Q64" i="32"/>
  <c r="P64" i="32"/>
  <c r="O64" i="32"/>
  <c r="N64" i="32"/>
  <c r="P297" i="2" s="1"/>
  <c r="M64" i="32"/>
  <c r="L64" i="32"/>
  <c r="K64" i="32"/>
  <c r="J64" i="32"/>
  <c r="L297" i="2" s="1"/>
  <c r="I64" i="32"/>
  <c r="H64" i="32"/>
  <c r="G64" i="32"/>
  <c r="F64" i="32"/>
  <c r="H297" i="2" s="1"/>
  <c r="E64" i="32"/>
  <c r="D64" i="32"/>
  <c r="B64" i="32"/>
  <c r="A64" i="32"/>
  <c r="S63" i="32"/>
  <c r="R63" i="32"/>
  <c r="Q63" i="32"/>
  <c r="P63" i="32"/>
  <c r="R296" i="2" s="1"/>
  <c r="O63" i="32"/>
  <c r="N63" i="32"/>
  <c r="M63" i="32"/>
  <c r="L63" i="32"/>
  <c r="N296" i="2" s="1"/>
  <c r="K63" i="32"/>
  <c r="J63" i="32"/>
  <c r="I63" i="32"/>
  <c r="H63" i="32"/>
  <c r="J296" i="2" s="1"/>
  <c r="G63" i="32"/>
  <c r="F63" i="32"/>
  <c r="E63" i="32"/>
  <c r="D63" i="32"/>
  <c r="B63" i="32"/>
  <c r="A63" i="32"/>
  <c r="S62" i="32"/>
  <c r="R62" i="32"/>
  <c r="T295" i="2" s="1"/>
  <c r="Q62" i="32"/>
  <c r="P62" i="32"/>
  <c r="O62" i="32"/>
  <c r="N62" i="32"/>
  <c r="P295" i="2" s="1"/>
  <c r="M62" i="32"/>
  <c r="L62" i="32"/>
  <c r="K62" i="32"/>
  <c r="J62" i="32"/>
  <c r="L295" i="2" s="1"/>
  <c r="I62" i="32"/>
  <c r="H62" i="32"/>
  <c r="G62" i="32"/>
  <c r="F62" i="32"/>
  <c r="H295" i="2" s="1"/>
  <c r="E62" i="32"/>
  <c r="D62" i="32"/>
  <c r="B62" i="32"/>
  <c r="A62" i="32"/>
  <c r="S61" i="32"/>
  <c r="R61" i="32"/>
  <c r="Q61" i="32"/>
  <c r="P61" i="32"/>
  <c r="R294" i="2" s="1"/>
  <c r="O61" i="32"/>
  <c r="N61" i="32"/>
  <c r="M61" i="32"/>
  <c r="L61" i="32"/>
  <c r="N294" i="2" s="1"/>
  <c r="K61" i="32"/>
  <c r="J61" i="32"/>
  <c r="I61" i="32"/>
  <c r="H61" i="32"/>
  <c r="J294" i="2" s="1"/>
  <c r="G61" i="32"/>
  <c r="F61" i="32"/>
  <c r="E61" i="32"/>
  <c r="D61" i="32"/>
  <c r="B61" i="32"/>
  <c r="A61" i="32"/>
  <c r="S60" i="32"/>
  <c r="R60" i="32"/>
  <c r="T293" i="2" s="1"/>
  <c r="Q60" i="32"/>
  <c r="P60" i="32"/>
  <c r="O60" i="32"/>
  <c r="N60" i="32"/>
  <c r="P293" i="2" s="1"/>
  <c r="M60" i="32"/>
  <c r="L60" i="32"/>
  <c r="K60" i="32"/>
  <c r="J60" i="32"/>
  <c r="L293" i="2" s="1"/>
  <c r="I60" i="32"/>
  <c r="H60" i="32"/>
  <c r="G60" i="32"/>
  <c r="F60" i="32"/>
  <c r="H293" i="2" s="1"/>
  <c r="E60" i="32"/>
  <c r="D60" i="32"/>
  <c r="B60" i="32"/>
  <c r="A60" i="32"/>
  <c r="S59" i="32"/>
  <c r="R59" i="32"/>
  <c r="Q59" i="32"/>
  <c r="P59" i="32"/>
  <c r="R292" i="2" s="1"/>
  <c r="O59" i="32"/>
  <c r="N59" i="32"/>
  <c r="M59" i="32"/>
  <c r="L59" i="32"/>
  <c r="N292" i="2" s="1"/>
  <c r="K59" i="32"/>
  <c r="J59" i="32"/>
  <c r="I59" i="32"/>
  <c r="H59" i="32"/>
  <c r="J292" i="2" s="1"/>
  <c r="G59" i="32"/>
  <c r="F59" i="32"/>
  <c r="E59" i="32"/>
  <c r="D59" i="32"/>
  <c r="B59" i="32"/>
  <c r="A59" i="32"/>
  <c r="S58" i="32"/>
  <c r="R58" i="32"/>
  <c r="T291" i="2" s="1"/>
  <c r="Q58" i="32"/>
  <c r="P58" i="32"/>
  <c r="O58" i="32"/>
  <c r="N58" i="32"/>
  <c r="P291" i="2" s="1"/>
  <c r="M58" i="32"/>
  <c r="L58" i="32"/>
  <c r="K58" i="32"/>
  <c r="J58" i="32"/>
  <c r="L291" i="2" s="1"/>
  <c r="I58" i="32"/>
  <c r="H58" i="32"/>
  <c r="G58" i="32"/>
  <c r="F58" i="32"/>
  <c r="H291" i="2" s="1"/>
  <c r="E58" i="32"/>
  <c r="D58" i="32"/>
  <c r="B58" i="32"/>
  <c r="A58" i="32"/>
  <c r="S57" i="32"/>
  <c r="R57" i="32"/>
  <c r="Q57" i="32"/>
  <c r="P57" i="32"/>
  <c r="R290" i="2" s="1"/>
  <c r="O57" i="32"/>
  <c r="N57" i="32"/>
  <c r="M57" i="32"/>
  <c r="L57" i="32"/>
  <c r="N290" i="2" s="1"/>
  <c r="K57" i="32"/>
  <c r="J57" i="32"/>
  <c r="I57" i="32"/>
  <c r="H57" i="32"/>
  <c r="J290" i="2" s="1"/>
  <c r="G57" i="32"/>
  <c r="F57" i="32"/>
  <c r="E57" i="32"/>
  <c r="D57" i="32"/>
  <c r="B57" i="32"/>
  <c r="A57" i="32"/>
  <c r="S56" i="32"/>
  <c r="R56" i="32"/>
  <c r="T289" i="2" s="1"/>
  <c r="Q56" i="32"/>
  <c r="P56" i="32"/>
  <c r="O56" i="32"/>
  <c r="N56" i="32"/>
  <c r="P289" i="2" s="1"/>
  <c r="M56" i="32"/>
  <c r="L56" i="32"/>
  <c r="K56" i="32"/>
  <c r="J56" i="32"/>
  <c r="L289" i="2" s="1"/>
  <c r="I56" i="32"/>
  <c r="H56" i="32"/>
  <c r="G56" i="32"/>
  <c r="F56" i="32"/>
  <c r="H289" i="2" s="1"/>
  <c r="E56" i="32"/>
  <c r="D56" i="32"/>
  <c r="B56" i="32"/>
  <c r="A56" i="32"/>
  <c r="S55" i="32"/>
  <c r="R55" i="32"/>
  <c r="Q55" i="32"/>
  <c r="P55" i="32"/>
  <c r="R288" i="2" s="1"/>
  <c r="O55" i="32"/>
  <c r="N55" i="32"/>
  <c r="M55" i="32"/>
  <c r="L55" i="32"/>
  <c r="N288" i="2" s="1"/>
  <c r="K55" i="32"/>
  <c r="J55" i="32"/>
  <c r="I55" i="32"/>
  <c r="H55" i="32"/>
  <c r="J288" i="2" s="1"/>
  <c r="G55" i="32"/>
  <c r="F55" i="32"/>
  <c r="E55" i="32"/>
  <c r="D55" i="32"/>
  <c r="B55" i="32"/>
  <c r="A55" i="32"/>
  <c r="S54" i="32"/>
  <c r="R54" i="32"/>
  <c r="T287" i="2" s="1"/>
  <c r="Q54" i="32"/>
  <c r="P54" i="32"/>
  <c r="O54" i="32"/>
  <c r="N54" i="32"/>
  <c r="P287" i="2" s="1"/>
  <c r="M54" i="32"/>
  <c r="L54" i="32"/>
  <c r="K54" i="32"/>
  <c r="J54" i="32"/>
  <c r="L287" i="2" s="1"/>
  <c r="I54" i="32"/>
  <c r="H54" i="32"/>
  <c r="G54" i="32"/>
  <c r="F54" i="32"/>
  <c r="H287" i="2" s="1"/>
  <c r="E54" i="32"/>
  <c r="D54" i="32"/>
  <c r="B54" i="32"/>
  <c r="A54" i="32"/>
  <c r="S53" i="32"/>
  <c r="R53" i="32"/>
  <c r="Q53" i="32"/>
  <c r="P53" i="32"/>
  <c r="R286" i="2" s="1"/>
  <c r="O53" i="32"/>
  <c r="N53" i="32"/>
  <c r="M53" i="32"/>
  <c r="L53" i="32"/>
  <c r="N286" i="2" s="1"/>
  <c r="K53" i="32"/>
  <c r="J53" i="32"/>
  <c r="I53" i="32"/>
  <c r="H53" i="32"/>
  <c r="J286" i="2" s="1"/>
  <c r="G53" i="32"/>
  <c r="F53" i="32"/>
  <c r="E53" i="32"/>
  <c r="D53" i="32"/>
  <c r="B53" i="32"/>
  <c r="A53" i="32"/>
  <c r="S52" i="32"/>
  <c r="R52" i="32"/>
  <c r="T285" i="2" s="1"/>
  <c r="Q52" i="32"/>
  <c r="P52" i="32"/>
  <c r="O52" i="32"/>
  <c r="N52" i="32"/>
  <c r="P285" i="2" s="1"/>
  <c r="M52" i="32"/>
  <c r="L52" i="32"/>
  <c r="K52" i="32"/>
  <c r="J52" i="32"/>
  <c r="L285" i="2" s="1"/>
  <c r="I52" i="32"/>
  <c r="H52" i="32"/>
  <c r="G52" i="32"/>
  <c r="F52" i="32"/>
  <c r="H285" i="2" s="1"/>
  <c r="E52" i="32"/>
  <c r="D52" i="32"/>
  <c r="B52" i="32"/>
  <c r="A52" i="32"/>
  <c r="S51" i="32"/>
  <c r="R51" i="32"/>
  <c r="Q51" i="32"/>
  <c r="P51" i="32"/>
  <c r="R284" i="2" s="1"/>
  <c r="O51" i="32"/>
  <c r="N51" i="32"/>
  <c r="M51" i="32"/>
  <c r="L51" i="32"/>
  <c r="N284" i="2" s="1"/>
  <c r="K51" i="32"/>
  <c r="J51" i="32"/>
  <c r="I51" i="32"/>
  <c r="H51" i="32"/>
  <c r="J284" i="2" s="1"/>
  <c r="G51" i="32"/>
  <c r="F51" i="32"/>
  <c r="E51" i="32"/>
  <c r="D51" i="32"/>
  <c r="B51" i="32"/>
  <c r="A51" i="32"/>
  <c r="S50" i="32"/>
  <c r="R50" i="32"/>
  <c r="T283" i="2" s="1"/>
  <c r="Q50" i="32"/>
  <c r="P50" i="32"/>
  <c r="O50" i="32"/>
  <c r="N50" i="32"/>
  <c r="P283" i="2" s="1"/>
  <c r="M50" i="32"/>
  <c r="L50" i="32"/>
  <c r="K50" i="32"/>
  <c r="J50" i="32"/>
  <c r="L283" i="2" s="1"/>
  <c r="I50" i="32"/>
  <c r="H50" i="32"/>
  <c r="G50" i="32"/>
  <c r="F50" i="32"/>
  <c r="H283" i="2" s="1"/>
  <c r="E50" i="32"/>
  <c r="D50" i="32"/>
  <c r="B50" i="32"/>
  <c r="A50" i="32"/>
  <c r="S49" i="32"/>
  <c r="R49" i="32"/>
  <c r="Q49" i="32"/>
  <c r="P49" i="32"/>
  <c r="R282" i="2" s="1"/>
  <c r="O49" i="32"/>
  <c r="N49" i="32"/>
  <c r="M49" i="32"/>
  <c r="L49" i="32"/>
  <c r="N282" i="2" s="1"/>
  <c r="K49" i="32"/>
  <c r="J49" i="32"/>
  <c r="I49" i="32"/>
  <c r="H49" i="32"/>
  <c r="J282" i="2" s="1"/>
  <c r="G49" i="32"/>
  <c r="F49" i="32"/>
  <c r="E49" i="32"/>
  <c r="D49" i="32"/>
  <c r="B49" i="32"/>
  <c r="A49" i="32"/>
  <c r="S48" i="32"/>
  <c r="R48" i="32"/>
  <c r="T281" i="2" s="1"/>
  <c r="Q48" i="32"/>
  <c r="P48" i="32"/>
  <c r="O48" i="32"/>
  <c r="N48" i="32"/>
  <c r="P281" i="2" s="1"/>
  <c r="M48" i="32"/>
  <c r="L48" i="32"/>
  <c r="K48" i="32"/>
  <c r="J48" i="32"/>
  <c r="L281" i="2" s="1"/>
  <c r="I48" i="32"/>
  <c r="H48" i="32"/>
  <c r="G48" i="32"/>
  <c r="F48" i="32"/>
  <c r="H281" i="2" s="1"/>
  <c r="E48" i="32"/>
  <c r="D48" i="32"/>
  <c r="B48" i="32"/>
  <c r="A48" i="32"/>
  <c r="S47" i="32"/>
  <c r="R47" i="32"/>
  <c r="Q47" i="32"/>
  <c r="P47" i="32"/>
  <c r="R280" i="2" s="1"/>
  <c r="O47" i="32"/>
  <c r="N47" i="32"/>
  <c r="M47" i="32"/>
  <c r="L47" i="32"/>
  <c r="N280" i="2" s="1"/>
  <c r="K47" i="32"/>
  <c r="J47" i="32"/>
  <c r="I47" i="32"/>
  <c r="H47" i="32"/>
  <c r="J280" i="2" s="1"/>
  <c r="G47" i="32"/>
  <c r="F47" i="32"/>
  <c r="E47" i="32"/>
  <c r="D47" i="32"/>
  <c r="B47" i="32"/>
  <c r="A47" i="32"/>
  <c r="S46" i="32"/>
  <c r="R46" i="32"/>
  <c r="T279" i="2" s="1"/>
  <c r="Q46" i="32"/>
  <c r="P46" i="32"/>
  <c r="O46" i="32"/>
  <c r="N46" i="32"/>
  <c r="P279" i="2" s="1"/>
  <c r="M46" i="32"/>
  <c r="L46" i="32"/>
  <c r="K46" i="32"/>
  <c r="J46" i="32"/>
  <c r="L279" i="2" s="1"/>
  <c r="I46" i="32"/>
  <c r="H46" i="32"/>
  <c r="G46" i="32"/>
  <c r="F46" i="32"/>
  <c r="H279" i="2" s="1"/>
  <c r="E46" i="32"/>
  <c r="D46" i="32"/>
  <c r="B46" i="32"/>
  <c r="A46" i="32"/>
  <c r="S45" i="32"/>
  <c r="R45" i="32"/>
  <c r="Q45" i="32"/>
  <c r="P45" i="32"/>
  <c r="R278" i="2" s="1"/>
  <c r="O45" i="32"/>
  <c r="N45" i="32"/>
  <c r="M45" i="32"/>
  <c r="L45" i="32"/>
  <c r="N278" i="2" s="1"/>
  <c r="K45" i="32"/>
  <c r="J45" i="32"/>
  <c r="I45" i="32"/>
  <c r="H45" i="32"/>
  <c r="J278" i="2" s="1"/>
  <c r="G45" i="32"/>
  <c r="F45" i="32"/>
  <c r="E45" i="32"/>
  <c r="D45" i="32"/>
  <c r="B45" i="32"/>
  <c r="A45" i="32"/>
  <c r="S44" i="32"/>
  <c r="R44" i="32"/>
  <c r="T277" i="2" s="1"/>
  <c r="Q44" i="32"/>
  <c r="P44" i="32"/>
  <c r="O44" i="32"/>
  <c r="N44" i="32"/>
  <c r="P277" i="2" s="1"/>
  <c r="M44" i="32"/>
  <c r="L44" i="32"/>
  <c r="K44" i="32"/>
  <c r="J44" i="32"/>
  <c r="L277" i="2" s="1"/>
  <c r="I44" i="32"/>
  <c r="H44" i="32"/>
  <c r="G44" i="32"/>
  <c r="F44" i="32"/>
  <c r="H277" i="2" s="1"/>
  <c r="E44" i="32"/>
  <c r="D44" i="32"/>
  <c r="B44" i="32"/>
  <c r="A44" i="32"/>
  <c r="S43" i="32"/>
  <c r="R43" i="32"/>
  <c r="Q43" i="32"/>
  <c r="P43" i="32"/>
  <c r="R276" i="2" s="1"/>
  <c r="O43" i="32"/>
  <c r="N43" i="32"/>
  <c r="M43" i="32"/>
  <c r="L43" i="32"/>
  <c r="N276" i="2" s="1"/>
  <c r="K43" i="32"/>
  <c r="J43" i="32"/>
  <c r="I43" i="32"/>
  <c r="H43" i="32"/>
  <c r="J276" i="2" s="1"/>
  <c r="G43" i="32"/>
  <c r="F43" i="32"/>
  <c r="E43" i="32"/>
  <c r="D43" i="32"/>
  <c r="B43" i="32"/>
  <c r="A43" i="32"/>
  <c r="S42" i="32"/>
  <c r="R42" i="32"/>
  <c r="T275" i="2" s="1"/>
  <c r="Q42" i="32"/>
  <c r="P42" i="32"/>
  <c r="O42" i="32"/>
  <c r="N42" i="32"/>
  <c r="P275" i="2" s="1"/>
  <c r="M42" i="32"/>
  <c r="L42" i="32"/>
  <c r="K42" i="32"/>
  <c r="J42" i="32"/>
  <c r="L275" i="2" s="1"/>
  <c r="I42" i="32"/>
  <c r="H42" i="32"/>
  <c r="G42" i="32"/>
  <c r="F42" i="32"/>
  <c r="H275" i="2" s="1"/>
  <c r="E42" i="32"/>
  <c r="D42" i="32"/>
  <c r="B42" i="32"/>
  <c r="A42" i="32"/>
  <c r="S41" i="32"/>
  <c r="R41" i="32"/>
  <c r="Q41" i="32"/>
  <c r="P41" i="32"/>
  <c r="R274" i="2" s="1"/>
  <c r="O41" i="32"/>
  <c r="N41" i="32"/>
  <c r="M41" i="32"/>
  <c r="L41" i="32"/>
  <c r="N274" i="2" s="1"/>
  <c r="K41" i="32"/>
  <c r="J41" i="32"/>
  <c r="I41" i="32"/>
  <c r="H41" i="32"/>
  <c r="J274" i="2" s="1"/>
  <c r="G41" i="32"/>
  <c r="F41" i="32"/>
  <c r="E41" i="32"/>
  <c r="D41" i="32"/>
  <c r="B41" i="32"/>
  <c r="A41" i="32"/>
  <c r="S40" i="32"/>
  <c r="R40" i="32"/>
  <c r="T273" i="2" s="1"/>
  <c r="Q40" i="32"/>
  <c r="P40" i="32"/>
  <c r="O40" i="32"/>
  <c r="N40" i="32"/>
  <c r="P273" i="2" s="1"/>
  <c r="M40" i="32"/>
  <c r="L40" i="32"/>
  <c r="K40" i="32"/>
  <c r="J40" i="32"/>
  <c r="L273" i="2" s="1"/>
  <c r="I40" i="32"/>
  <c r="H40" i="32"/>
  <c r="G40" i="32"/>
  <c r="F40" i="32"/>
  <c r="H273" i="2" s="1"/>
  <c r="E40" i="32"/>
  <c r="D40" i="32"/>
  <c r="B40" i="32"/>
  <c r="A40" i="32"/>
  <c r="S39" i="32"/>
  <c r="R39" i="32"/>
  <c r="Q39" i="32"/>
  <c r="P39" i="32"/>
  <c r="R272" i="2" s="1"/>
  <c r="O39" i="32"/>
  <c r="N39" i="32"/>
  <c r="M39" i="32"/>
  <c r="L39" i="32"/>
  <c r="N272" i="2" s="1"/>
  <c r="K39" i="32"/>
  <c r="J39" i="32"/>
  <c r="I39" i="32"/>
  <c r="H39" i="32"/>
  <c r="J272" i="2" s="1"/>
  <c r="G39" i="32"/>
  <c r="F39" i="32"/>
  <c r="E39" i="32"/>
  <c r="D39" i="32"/>
  <c r="B39" i="32"/>
  <c r="A39" i="32"/>
  <c r="S38" i="32"/>
  <c r="R38" i="32"/>
  <c r="T271" i="2" s="1"/>
  <c r="Q38" i="32"/>
  <c r="P38" i="32"/>
  <c r="O38" i="32"/>
  <c r="N38" i="32"/>
  <c r="P271" i="2" s="1"/>
  <c r="M38" i="32"/>
  <c r="L38" i="32"/>
  <c r="K38" i="32"/>
  <c r="J38" i="32"/>
  <c r="L271" i="2" s="1"/>
  <c r="I38" i="32"/>
  <c r="H38" i="32"/>
  <c r="G38" i="32"/>
  <c r="F38" i="32"/>
  <c r="H271" i="2" s="1"/>
  <c r="E38" i="32"/>
  <c r="D38" i="32"/>
  <c r="B38" i="32"/>
  <c r="A38" i="32"/>
  <c r="S37" i="32"/>
  <c r="R37" i="32"/>
  <c r="Q37" i="32"/>
  <c r="P37" i="32"/>
  <c r="R270" i="2" s="1"/>
  <c r="O37" i="32"/>
  <c r="N37" i="32"/>
  <c r="M37" i="32"/>
  <c r="L37" i="32"/>
  <c r="N270" i="2" s="1"/>
  <c r="K37" i="32"/>
  <c r="J37" i="32"/>
  <c r="I37" i="32"/>
  <c r="H37" i="32"/>
  <c r="J270" i="2" s="1"/>
  <c r="G37" i="32"/>
  <c r="F37" i="32"/>
  <c r="E37" i="32"/>
  <c r="D37" i="32"/>
  <c r="B37" i="32"/>
  <c r="A37" i="32"/>
  <c r="S36" i="32"/>
  <c r="R36" i="32"/>
  <c r="T269" i="2" s="1"/>
  <c r="Q36" i="32"/>
  <c r="P36" i="32"/>
  <c r="O36" i="32"/>
  <c r="N36" i="32"/>
  <c r="P269" i="2" s="1"/>
  <c r="M36" i="32"/>
  <c r="L36" i="32"/>
  <c r="K36" i="32"/>
  <c r="J36" i="32"/>
  <c r="L269" i="2" s="1"/>
  <c r="I36" i="32"/>
  <c r="H36" i="32"/>
  <c r="G36" i="32"/>
  <c r="F36" i="32"/>
  <c r="H269" i="2" s="1"/>
  <c r="E36" i="32"/>
  <c r="D36" i="32"/>
  <c r="B36" i="32"/>
  <c r="A36" i="32"/>
  <c r="S35" i="32"/>
  <c r="R35" i="32"/>
  <c r="Q35" i="32"/>
  <c r="P35" i="32"/>
  <c r="R268" i="2" s="1"/>
  <c r="O35" i="32"/>
  <c r="N35" i="32"/>
  <c r="M35" i="32"/>
  <c r="L35" i="32"/>
  <c r="N268" i="2" s="1"/>
  <c r="K35" i="32"/>
  <c r="J35" i="32"/>
  <c r="I35" i="32"/>
  <c r="H35" i="32"/>
  <c r="J268" i="2" s="1"/>
  <c r="G35" i="32"/>
  <c r="F35" i="32"/>
  <c r="E35" i="32"/>
  <c r="D35" i="32"/>
  <c r="B35" i="32"/>
  <c r="A35" i="32"/>
  <c r="S34" i="32"/>
  <c r="R34" i="32"/>
  <c r="T267" i="2" s="1"/>
  <c r="Q34" i="32"/>
  <c r="P34" i="32"/>
  <c r="O34" i="32"/>
  <c r="N34" i="32"/>
  <c r="P267" i="2" s="1"/>
  <c r="M34" i="32"/>
  <c r="L34" i="32"/>
  <c r="K34" i="32"/>
  <c r="J34" i="32"/>
  <c r="L267" i="2" s="1"/>
  <c r="I34" i="32"/>
  <c r="H34" i="32"/>
  <c r="G34" i="32"/>
  <c r="F34" i="32"/>
  <c r="H267" i="2" s="1"/>
  <c r="E34" i="32"/>
  <c r="D34" i="32"/>
  <c r="B34" i="32"/>
  <c r="A34" i="32"/>
  <c r="S33" i="32"/>
  <c r="R33" i="32"/>
  <c r="Q33" i="32"/>
  <c r="P33" i="32"/>
  <c r="R266" i="2" s="1"/>
  <c r="O33" i="32"/>
  <c r="N33" i="32"/>
  <c r="M33" i="32"/>
  <c r="L33" i="32"/>
  <c r="N266" i="2" s="1"/>
  <c r="K33" i="32"/>
  <c r="J33" i="32"/>
  <c r="I33" i="32"/>
  <c r="H33" i="32"/>
  <c r="J266" i="2" s="1"/>
  <c r="G33" i="32"/>
  <c r="F33" i="32"/>
  <c r="E33" i="32"/>
  <c r="D33" i="32"/>
  <c r="B33" i="32"/>
  <c r="A33" i="32"/>
  <c r="S32" i="32"/>
  <c r="R32" i="32"/>
  <c r="T265" i="2" s="1"/>
  <c r="Q32" i="32"/>
  <c r="P32" i="32"/>
  <c r="O32" i="32"/>
  <c r="N32" i="32"/>
  <c r="P265" i="2" s="1"/>
  <c r="M32" i="32"/>
  <c r="L32" i="32"/>
  <c r="K32" i="32"/>
  <c r="J32" i="32"/>
  <c r="L265" i="2" s="1"/>
  <c r="I32" i="32"/>
  <c r="H32" i="32"/>
  <c r="G32" i="32"/>
  <c r="F32" i="32"/>
  <c r="H265" i="2" s="1"/>
  <c r="E32" i="32"/>
  <c r="D32" i="32"/>
  <c r="B32" i="32"/>
  <c r="A32" i="32"/>
  <c r="S31" i="32"/>
  <c r="R31" i="32"/>
  <c r="Q31" i="32"/>
  <c r="P31" i="32"/>
  <c r="R264" i="2" s="1"/>
  <c r="O31" i="32"/>
  <c r="N31" i="32"/>
  <c r="M31" i="32"/>
  <c r="L31" i="32"/>
  <c r="N264" i="2" s="1"/>
  <c r="K31" i="32"/>
  <c r="J31" i="32"/>
  <c r="I31" i="32"/>
  <c r="H31" i="32"/>
  <c r="J264" i="2" s="1"/>
  <c r="G31" i="32"/>
  <c r="F31" i="32"/>
  <c r="E31" i="32"/>
  <c r="D31" i="32"/>
  <c r="B31" i="32"/>
  <c r="A31" i="32"/>
  <c r="S30" i="32"/>
  <c r="R30" i="32"/>
  <c r="T263" i="2" s="1"/>
  <c r="Q30" i="32"/>
  <c r="P30" i="32"/>
  <c r="O30" i="32"/>
  <c r="N30" i="32"/>
  <c r="P263" i="2" s="1"/>
  <c r="M30" i="32"/>
  <c r="L30" i="32"/>
  <c r="K30" i="32"/>
  <c r="J30" i="32"/>
  <c r="L263" i="2" s="1"/>
  <c r="I30" i="32"/>
  <c r="H30" i="32"/>
  <c r="G30" i="32"/>
  <c r="F30" i="32"/>
  <c r="H263" i="2" s="1"/>
  <c r="E30" i="32"/>
  <c r="D30" i="32"/>
  <c r="B30" i="32"/>
  <c r="A30" i="32"/>
  <c r="S29" i="32"/>
  <c r="R29" i="32"/>
  <c r="Q29" i="32"/>
  <c r="P29" i="32"/>
  <c r="R262" i="2" s="1"/>
  <c r="O29" i="32"/>
  <c r="N29" i="32"/>
  <c r="M29" i="32"/>
  <c r="L29" i="32"/>
  <c r="N262" i="2" s="1"/>
  <c r="K29" i="32"/>
  <c r="J29" i="32"/>
  <c r="I29" i="32"/>
  <c r="H29" i="32"/>
  <c r="J262" i="2" s="1"/>
  <c r="G29" i="32"/>
  <c r="F29" i="32"/>
  <c r="E29" i="32"/>
  <c r="D29" i="32"/>
  <c r="B29" i="32"/>
  <c r="A29" i="32"/>
  <c r="S28" i="32"/>
  <c r="R28" i="32"/>
  <c r="T261" i="2" s="1"/>
  <c r="Q28" i="32"/>
  <c r="P28" i="32"/>
  <c r="O28" i="32"/>
  <c r="N28" i="32"/>
  <c r="P261" i="2" s="1"/>
  <c r="M28" i="32"/>
  <c r="L28" i="32"/>
  <c r="K28" i="32"/>
  <c r="J28" i="32"/>
  <c r="L261" i="2" s="1"/>
  <c r="I28" i="32"/>
  <c r="H28" i="32"/>
  <c r="G28" i="32"/>
  <c r="F28" i="32"/>
  <c r="H261" i="2" s="1"/>
  <c r="E28" i="32"/>
  <c r="D28" i="32"/>
  <c r="B28" i="32"/>
  <c r="A28" i="32"/>
  <c r="S27" i="32"/>
  <c r="R27" i="32"/>
  <c r="Q27" i="32"/>
  <c r="P27" i="32"/>
  <c r="R260" i="2" s="1"/>
  <c r="O27" i="32"/>
  <c r="N27" i="32"/>
  <c r="M27" i="32"/>
  <c r="L27" i="32"/>
  <c r="N260" i="2" s="1"/>
  <c r="K27" i="32"/>
  <c r="J27" i="32"/>
  <c r="I27" i="32"/>
  <c r="H27" i="32"/>
  <c r="J260" i="2" s="1"/>
  <c r="G27" i="32"/>
  <c r="F27" i="32"/>
  <c r="E27" i="32"/>
  <c r="D27" i="32"/>
  <c r="B27" i="32"/>
  <c r="A27" i="32"/>
  <c r="S26" i="32"/>
  <c r="R26" i="32"/>
  <c r="T259" i="2" s="1"/>
  <c r="Q26" i="32"/>
  <c r="P26" i="32"/>
  <c r="O26" i="32"/>
  <c r="N26" i="32"/>
  <c r="P259" i="2" s="1"/>
  <c r="M26" i="32"/>
  <c r="L26" i="32"/>
  <c r="K26" i="32"/>
  <c r="J26" i="32"/>
  <c r="L259" i="2" s="1"/>
  <c r="I26" i="32"/>
  <c r="H26" i="32"/>
  <c r="G26" i="32"/>
  <c r="F26" i="32"/>
  <c r="H259" i="2" s="1"/>
  <c r="E26" i="32"/>
  <c r="D26" i="32"/>
  <c r="B26" i="32"/>
  <c r="A26" i="32"/>
  <c r="S25" i="32"/>
  <c r="R25" i="32"/>
  <c r="Q25" i="32"/>
  <c r="P25" i="32"/>
  <c r="R258" i="2" s="1"/>
  <c r="O25" i="32"/>
  <c r="N25" i="32"/>
  <c r="M25" i="32"/>
  <c r="L25" i="32"/>
  <c r="N258" i="2" s="1"/>
  <c r="K25" i="32"/>
  <c r="J25" i="32"/>
  <c r="I25" i="32"/>
  <c r="H25" i="32"/>
  <c r="J258" i="2" s="1"/>
  <c r="G25" i="32"/>
  <c r="F25" i="32"/>
  <c r="E25" i="32"/>
  <c r="D25" i="32"/>
  <c r="B25" i="32"/>
  <c r="A25" i="32"/>
  <c r="S24" i="32"/>
  <c r="R24" i="32"/>
  <c r="T257" i="2" s="1"/>
  <c r="Q24" i="32"/>
  <c r="P24" i="32"/>
  <c r="O24" i="32"/>
  <c r="N24" i="32"/>
  <c r="P257" i="2" s="1"/>
  <c r="M24" i="32"/>
  <c r="L24" i="32"/>
  <c r="K24" i="32"/>
  <c r="J24" i="32"/>
  <c r="L257" i="2" s="1"/>
  <c r="I24" i="32"/>
  <c r="H24" i="32"/>
  <c r="G24" i="32"/>
  <c r="F24" i="32"/>
  <c r="H257" i="2" s="1"/>
  <c r="E24" i="32"/>
  <c r="D24" i="32"/>
  <c r="B24" i="32"/>
  <c r="A24" i="32"/>
  <c r="S23" i="32"/>
  <c r="R23" i="32"/>
  <c r="Q23" i="32"/>
  <c r="P23" i="32"/>
  <c r="R256" i="2" s="1"/>
  <c r="O23" i="32"/>
  <c r="N23" i="32"/>
  <c r="M23" i="32"/>
  <c r="L23" i="32"/>
  <c r="N256" i="2" s="1"/>
  <c r="K23" i="32"/>
  <c r="J23" i="32"/>
  <c r="I23" i="32"/>
  <c r="H23" i="32"/>
  <c r="J256" i="2" s="1"/>
  <c r="G23" i="32"/>
  <c r="F23" i="32"/>
  <c r="E23" i="32"/>
  <c r="D23" i="32"/>
  <c r="B23" i="32"/>
  <c r="A23" i="32"/>
  <c r="S22" i="32"/>
  <c r="R22" i="32"/>
  <c r="T255" i="2" s="1"/>
  <c r="Q22" i="32"/>
  <c r="P22" i="32"/>
  <c r="O22" i="32"/>
  <c r="N22" i="32"/>
  <c r="P255" i="2" s="1"/>
  <c r="M22" i="32"/>
  <c r="L22" i="32"/>
  <c r="K22" i="32"/>
  <c r="J22" i="32"/>
  <c r="L255" i="2" s="1"/>
  <c r="I22" i="32"/>
  <c r="H22" i="32"/>
  <c r="G22" i="32"/>
  <c r="F22" i="32"/>
  <c r="H255" i="2" s="1"/>
  <c r="E22" i="32"/>
  <c r="D22" i="32"/>
  <c r="B22" i="32"/>
  <c r="A22" i="32"/>
  <c r="S21" i="32"/>
  <c r="R21" i="32"/>
  <c r="Q21" i="32"/>
  <c r="P21" i="32"/>
  <c r="R254" i="2" s="1"/>
  <c r="O21" i="32"/>
  <c r="N21" i="32"/>
  <c r="M21" i="32"/>
  <c r="L21" i="32"/>
  <c r="N254" i="2" s="1"/>
  <c r="K21" i="32"/>
  <c r="J21" i="32"/>
  <c r="I21" i="32"/>
  <c r="H21" i="32"/>
  <c r="J254" i="2" s="1"/>
  <c r="G21" i="32"/>
  <c r="F21" i="32"/>
  <c r="E21" i="32"/>
  <c r="D21" i="32"/>
  <c r="B21" i="32"/>
  <c r="A21" i="32"/>
  <c r="S20" i="32"/>
  <c r="R20" i="32"/>
  <c r="T253" i="2" s="1"/>
  <c r="Q20" i="32"/>
  <c r="P20" i="32"/>
  <c r="O20" i="32"/>
  <c r="N20" i="32"/>
  <c r="P253" i="2" s="1"/>
  <c r="M20" i="32"/>
  <c r="L20" i="32"/>
  <c r="K20" i="32"/>
  <c r="J20" i="32"/>
  <c r="L253" i="2" s="1"/>
  <c r="I20" i="32"/>
  <c r="H20" i="32"/>
  <c r="G20" i="32"/>
  <c r="F20" i="32"/>
  <c r="H253" i="2" s="1"/>
  <c r="E20" i="32"/>
  <c r="D20" i="32"/>
  <c r="B20" i="32"/>
  <c r="A20" i="32"/>
  <c r="S19" i="32"/>
  <c r="R19" i="32"/>
  <c r="Q19" i="32"/>
  <c r="P19" i="32"/>
  <c r="R252" i="2" s="1"/>
  <c r="O19" i="32"/>
  <c r="N19" i="32"/>
  <c r="M19" i="32"/>
  <c r="L19" i="32"/>
  <c r="N252" i="2" s="1"/>
  <c r="K19" i="32"/>
  <c r="J19" i="32"/>
  <c r="I19" i="32"/>
  <c r="H19" i="32"/>
  <c r="J252" i="2" s="1"/>
  <c r="G19" i="32"/>
  <c r="F19" i="32"/>
  <c r="E19" i="32"/>
  <c r="D19" i="32"/>
  <c r="B19" i="32"/>
  <c r="A19" i="32"/>
  <c r="S18" i="32"/>
  <c r="R18" i="32"/>
  <c r="T251" i="2" s="1"/>
  <c r="Q18" i="32"/>
  <c r="P18" i="32"/>
  <c r="O18" i="32"/>
  <c r="N18" i="32"/>
  <c r="P251" i="2" s="1"/>
  <c r="M18" i="32"/>
  <c r="L18" i="32"/>
  <c r="K18" i="32"/>
  <c r="J18" i="32"/>
  <c r="L251" i="2" s="1"/>
  <c r="I18" i="32"/>
  <c r="H18" i="32"/>
  <c r="G18" i="32"/>
  <c r="F18" i="32"/>
  <c r="H251" i="2" s="1"/>
  <c r="E18" i="32"/>
  <c r="D18" i="32"/>
  <c r="B18" i="32"/>
  <c r="A18" i="32"/>
  <c r="S17" i="32"/>
  <c r="R17" i="32"/>
  <c r="Q17" i="32"/>
  <c r="P17" i="32"/>
  <c r="R250" i="2" s="1"/>
  <c r="O17" i="32"/>
  <c r="N17" i="32"/>
  <c r="M17" i="32"/>
  <c r="L17" i="32"/>
  <c r="N250" i="2" s="1"/>
  <c r="K17" i="32"/>
  <c r="J17" i="32"/>
  <c r="I17" i="32"/>
  <c r="H17" i="32"/>
  <c r="J250" i="2" s="1"/>
  <c r="G17" i="32"/>
  <c r="F17" i="32"/>
  <c r="E17" i="32"/>
  <c r="D17" i="32"/>
  <c r="B17" i="32"/>
  <c r="A17" i="32"/>
  <c r="S16" i="32"/>
  <c r="R16" i="32"/>
  <c r="T249" i="2" s="1"/>
  <c r="Q16" i="32"/>
  <c r="P16" i="32"/>
  <c r="O16" i="32"/>
  <c r="N16" i="32"/>
  <c r="P249" i="2" s="1"/>
  <c r="M16" i="32"/>
  <c r="L16" i="32"/>
  <c r="K16" i="32"/>
  <c r="J16" i="32"/>
  <c r="L249" i="2" s="1"/>
  <c r="I16" i="32"/>
  <c r="H16" i="32"/>
  <c r="G16" i="32"/>
  <c r="F16" i="32"/>
  <c r="H249" i="2" s="1"/>
  <c r="E16" i="32"/>
  <c r="D16" i="32"/>
  <c r="B16" i="32"/>
  <c r="A16" i="32"/>
  <c r="S15" i="32"/>
  <c r="R15" i="32"/>
  <c r="Q15" i="32"/>
  <c r="P15" i="32"/>
  <c r="R248" i="2" s="1"/>
  <c r="O15" i="32"/>
  <c r="N15" i="32"/>
  <c r="M15" i="32"/>
  <c r="L15" i="32"/>
  <c r="N248" i="2" s="1"/>
  <c r="K15" i="32"/>
  <c r="J15" i="32"/>
  <c r="I15" i="32"/>
  <c r="H15" i="32"/>
  <c r="J248" i="2" s="1"/>
  <c r="G15" i="32"/>
  <c r="F15" i="32"/>
  <c r="E15" i="32"/>
  <c r="D15" i="32"/>
  <c r="B15" i="32"/>
  <c r="A15" i="32"/>
  <c r="S14" i="32"/>
  <c r="R14" i="32"/>
  <c r="T247" i="2" s="1"/>
  <c r="Q14" i="32"/>
  <c r="P14" i="32"/>
  <c r="O14" i="32"/>
  <c r="N14" i="32"/>
  <c r="P247" i="2" s="1"/>
  <c r="M14" i="32"/>
  <c r="L14" i="32"/>
  <c r="K14" i="32"/>
  <c r="J14" i="32"/>
  <c r="L247" i="2" s="1"/>
  <c r="I14" i="32"/>
  <c r="H14" i="32"/>
  <c r="G14" i="32"/>
  <c r="F14" i="32"/>
  <c r="H247" i="2" s="1"/>
  <c r="E14" i="32"/>
  <c r="D14" i="32"/>
  <c r="B14" i="32"/>
  <c r="A14" i="32"/>
  <c r="S13" i="32"/>
  <c r="R13" i="32"/>
  <c r="Q13" i="32"/>
  <c r="P13" i="32"/>
  <c r="R246" i="2" s="1"/>
  <c r="O13" i="32"/>
  <c r="N13" i="32"/>
  <c r="M13" i="32"/>
  <c r="L13" i="32"/>
  <c r="N246" i="2" s="1"/>
  <c r="K13" i="32"/>
  <c r="J13" i="32"/>
  <c r="I13" i="32"/>
  <c r="H13" i="32"/>
  <c r="J246" i="2" s="1"/>
  <c r="G13" i="32"/>
  <c r="F13" i="32"/>
  <c r="E13" i="32"/>
  <c r="D13" i="32"/>
  <c r="B13" i="32"/>
  <c r="A13" i="32"/>
  <c r="S12" i="32"/>
  <c r="R12" i="32"/>
  <c r="T245" i="2" s="1"/>
  <c r="Q12" i="32"/>
  <c r="P12" i="32"/>
  <c r="O12" i="32"/>
  <c r="N12" i="32"/>
  <c r="P245" i="2" s="1"/>
  <c r="M12" i="32"/>
  <c r="L12" i="32"/>
  <c r="K12" i="32"/>
  <c r="J12" i="32"/>
  <c r="L245" i="2" s="1"/>
  <c r="I12" i="32"/>
  <c r="H12" i="32"/>
  <c r="G12" i="32"/>
  <c r="F12" i="32"/>
  <c r="H245" i="2" s="1"/>
  <c r="E12" i="32"/>
  <c r="D12" i="32"/>
  <c r="B12" i="32"/>
  <c r="A12" i="32"/>
  <c r="S11" i="32"/>
  <c r="R11" i="32"/>
  <c r="Q11" i="32"/>
  <c r="P11" i="32"/>
  <c r="R244" i="2" s="1"/>
  <c r="O11" i="32"/>
  <c r="N11" i="32"/>
  <c r="M11" i="32"/>
  <c r="L11" i="32"/>
  <c r="N244" i="2" s="1"/>
  <c r="K11" i="32"/>
  <c r="J11" i="32"/>
  <c r="I11" i="32"/>
  <c r="H11" i="32"/>
  <c r="J244" i="2" s="1"/>
  <c r="G11" i="32"/>
  <c r="F11" i="32"/>
  <c r="E11" i="32"/>
  <c r="D11" i="32"/>
  <c r="B11" i="32"/>
  <c r="A11" i="32"/>
  <c r="S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B10" i="32"/>
  <c r="A10" i="32"/>
  <c r="S9" i="32"/>
  <c r="R9" i="32"/>
  <c r="Q9" i="32"/>
  <c r="P9" i="32"/>
  <c r="R242" i="2" s="1"/>
  <c r="O9" i="32"/>
  <c r="N9" i="32"/>
  <c r="M9" i="32"/>
  <c r="L9" i="32"/>
  <c r="N242" i="2" s="1"/>
  <c r="K9" i="32"/>
  <c r="J9" i="32"/>
  <c r="I9" i="32"/>
  <c r="H9" i="32"/>
  <c r="J242" i="2" s="1"/>
  <c r="G9" i="32"/>
  <c r="F9" i="32"/>
  <c r="E9" i="32"/>
  <c r="D9" i="32"/>
  <c r="B9" i="32"/>
  <c r="A9" i="32"/>
  <c r="S8" i="32"/>
  <c r="R8" i="32"/>
  <c r="T241" i="2" s="1"/>
  <c r="Q8" i="32"/>
  <c r="P8" i="32"/>
  <c r="O8" i="32"/>
  <c r="N8" i="32"/>
  <c r="P241" i="2" s="1"/>
  <c r="M8" i="32"/>
  <c r="L8" i="32"/>
  <c r="K8" i="32"/>
  <c r="J8" i="32"/>
  <c r="L241" i="2" s="1"/>
  <c r="I8" i="32"/>
  <c r="H8" i="32"/>
  <c r="G8" i="32"/>
  <c r="F8" i="32"/>
  <c r="H241" i="2" s="1"/>
  <c r="E8" i="32"/>
  <c r="D8" i="32"/>
  <c r="B8" i="32"/>
  <c r="A8" i="32"/>
  <c r="S7" i="32"/>
  <c r="R7" i="32"/>
  <c r="Q7" i="32"/>
  <c r="P7" i="32"/>
  <c r="R240" i="2" s="1"/>
  <c r="O7" i="32"/>
  <c r="N7" i="32"/>
  <c r="M7" i="32"/>
  <c r="L7" i="32"/>
  <c r="N240" i="2" s="1"/>
  <c r="K7" i="32"/>
  <c r="J7" i="32"/>
  <c r="I7" i="32"/>
  <c r="H7" i="32"/>
  <c r="J240" i="2" s="1"/>
  <c r="G7" i="32"/>
  <c r="F7" i="32"/>
  <c r="E7" i="32"/>
  <c r="D7" i="32"/>
  <c r="B7" i="32"/>
  <c r="A7" i="32"/>
  <c r="S6" i="32"/>
  <c r="R6" i="32"/>
  <c r="T239" i="2" s="1"/>
  <c r="Q6" i="32"/>
  <c r="P6" i="32"/>
  <c r="O6" i="32"/>
  <c r="N6" i="32"/>
  <c r="P239" i="2" s="1"/>
  <c r="M6" i="32"/>
  <c r="L6" i="32"/>
  <c r="K6" i="32"/>
  <c r="J6" i="32"/>
  <c r="L239" i="2" s="1"/>
  <c r="I6" i="32"/>
  <c r="H6" i="32"/>
  <c r="G6" i="32"/>
  <c r="F6" i="32"/>
  <c r="H239" i="2" s="1"/>
  <c r="E6" i="32"/>
  <c r="D6" i="32"/>
  <c r="B6" i="32"/>
  <c r="A6" i="32"/>
  <c r="S5" i="32"/>
  <c r="R5" i="32"/>
  <c r="Q5" i="32"/>
  <c r="P5" i="32"/>
  <c r="R238" i="2" s="1"/>
  <c r="O5" i="32"/>
  <c r="N5" i="32"/>
  <c r="M5" i="32"/>
  <c r="L5" i="32"/>
  <c r="N238" i="2" s="1"/>
  <c r="K5" i="32"/>
  <c r="J5" i="32"/>
  <c r="I5" i="32"/>
  <c r="H5" i="32"/>
  <c r="J238" i="2" s="1"/>
  <c r="G5" i="32"/>
  <c r="F5" i="32"/>
  <c r="E5" i="32"/>
  <c r="D5" i="32"/>
  <c r="B5" i="32"/>
  <c r="A5" i="32"/>
  <c r="S4" i="32"/>
  <c r="R4" i="32"/>
  <c r="T237" i="2" s="1"/>
  <c r="Q4" i="32"/>
  <c r="P4" i="32"/>
  <c r="O4" i="32"/>
  <c r="N4" i="32"/>
  <c r="P237" i="2" s="1"/>
  <c r="M4" i="32"/>
  <c r="L4" i="32"/>
  <c r="K4" i="32"/>
  <c r="J4" i="32"/>
  <c r="L237" i="2" s="1"/>
  <c r="I4" i="32"/>
  <c r="H4" i="32"/>
  <c r="G4" i="32"/>
  <c r="F4" i="32"/>
  <c r="H237" i="2" s="1"/>
  <c r="E4" i="32"/>
  <c r="D4" i="32"/>
  <c r="B4" i="32"/>
  <c r="A4" i="32"/>
  <c r="S3" i="32"/>
  <c r="R3" i="32"/>
  <c r="Q3" i="32"/>
  <c r="P3" i="32"/>
  <c r="R236" i="2" s="1"/>
  <c r="O3" i="32"/>
  <c r="N3" i="32"/>
  <c r="M3" i="32"/>
  <c r="L3" i="32"/>
  <c r="N236" i="2" s="1"/>
  <c r="K3" i="32"/>
  <c r="J3" i="32"/>
  <c r="I3" i="32"/>
  <c r="H3" i="32"/>
  <c r="J236" i="2" s="1"/>
  <c r="G3" i="32"/>
  <c r="F3" i="32"/>
  <c r="E3" i="32"/>
  <c r="D3" i="32"/>
  <c r="B3" i="32"/>
  <c r="A3" i="32"/>
  <c r="S2" i="32"/>
  <c r="R2" i="32"/>
  <c r="T235" i="2" s="1"/>
  <c r="Q2" i="32"/>
  <c r="P2" i="32"/>
  <c r="O2" i="32"/>
  <c r="N2" i="32"/>
  <c r="P235" i="2" s="1"/>
  <c r="M2" i="32"/>
  <c r="L2" i="32"/>
  <c r="K2" i="32"/>
  <c r="J2" i="32"/>
  <c r="L235" i="2" s="1"/>
  <c r="I2" i="32"/>
  <c r="H2" i="32"/>
  <c r="G2" i="32"/>
  <c r="F2" i="32"/>
  <c r="H235" i="2" s="1"/>
  <c r="E2" i="32"/>
  <c r="D2" i="32"/>
  <c r="B2" i="32"/>
  <c r="A2" i="32"/>
  <c r="S1" i="32"/>
  <c r="R1" i="32"/>
  <c r="Q1" i="32"/>
  <c r="P1" i="32"/>
  <c r="O1" i="32"/>
  <c r="N1" i="32"/>
  <c r="M1" i="32"/>
  <c r="L1" i="32"/>
  <c r="K1" i="32"/>
  <c r="J1" i="32"/>
  <c r="I1" i="32"/>
  <c r="H1" i="32"/>
  <c r="G1" i="32"/>
  <c r="F1" i="32"/>
  <c r="E1" i="32"/>
  <c r="D1" i="32"/>
  <c r="C1" i="32"/>
  <c r="B1" i="32"/>
  <c r="A1" i="32"/>
  <c r="S87" i="31"/>
  <c r="Q320" i="1" s="1"/>
  <c r="R87" i="31"/>
  <c r="Q87" i="31"/>
  <c r="P87" i="31"/>
  <c r="O87" i="31"/>
  <c r="M320" i="1" s="1"/>
  <c r="N87" i="31"/>
  <c r="M87" i="31"/>
  <c r="L87" i="31"/>
  <c r="K87" i="31"/>
  <c r="I320" i="1" s="1"/>
  <c r="J87" i="31"/>
  <c r="I87" i="31"/>
  <c r="H87" i="31"/>
  <c r="G87" i="31"/>
  <c r="E320" i="1" s="1"/>
  <c r="F87" i="31"/>
  <c r="E87" i="31"/>
  <c r="D87" i="31"/>
  <c r="C87" i="31"/>
  <c r="E320" i="3" s="1"/>
  <c r="B87" i="31"/>
  <c r="A87" i="31"/>
  <c r="S86" i="31"/>
  <c r="R86" i="31"/>
  <c r="P319" i="1" s="1"/>
  <c r="Q86" i="31"/>
  <c r="P86" i="31"/>
  <c r="O86" i="31"/>
  <c r="N86" i="31"/>
  <c r="L319" i="1" s="1"/>
  <c r="M86" i="31"/>
  <c r="L86" i="31"/>
  <c r="K86" i="31"/>
  <c r="J86" i="31"/>
  <c r="H319" i="1" s="1"/>
  <c r="I86" i="31"/>
  <c r="H86" i="31"/>
  <c r="G86" i="31"/>
  <c r="F86" i="31"/>
  <c r="D319" i="1" s="1"/>
  <c r="E86" i="31"/>
  <c r="D86" i="31"/>
  <c r="C86" i="31"/>
  <c r="B86" i="31"/>
  <c r="D319" i="3" s="1"/>
  <c r="A86" i="31"/>
  <c r="S85" i="31"/>
  <c r="R85" i="31"/>
  <c r="Q85" i="31"/>
  <c r="O318" i="1" s="1"/>
  <c r="P85" i="31"/>
  <c r="O85" i="31"/>
  <c r="N85" i="31"/>
  <c r="M85" i="31"/>
  <c r="K318" i="1" s="1"/>
  <c r="L85" i="31"/>
  <c r="K85" i="31"/>
  <c r="J85" i="31"/>
  <c r="I85" i="31"/>
  <c r="G318" i="1" s="1"/>
  <c r="H85" i="31"/>
  <c r="G85" i="31"/>
  <c r="F85" i="31"/>
  <c r="E85" i="31"/>
  <c r="G318" i="3" s="1"/>
  <c r="D85" i="31"/>
  <c r="C85" i="31"/>
  <c r="B85" i="31"/>
  <c r="A85" i="31"/>
  <c r="S84" i="31"/>
  <c r="R84" i="31"/>
  <c r="Q84" i="31"/>
  <c r="P84" i="31"/>
  <c r="N317" i="1" s="1"/>
  <c r="O84" i="31"/>
  <c r="N84" i="31"/>
  <c r="M84" i="31"/>
  <c r="L84" i="31"/>
  <c r="J317" i="1" s="1"/>
  <c r="K84" i="31"/>
  <c r="J84" i="31"/>
  <c r="I84" i="31"/>
  <c r="H84" i="31"/>
  <c r="F317" i="1" s="1"/>
  <c r="G84" i="31"/>
  <c r="F84" i="31"/>
  <c r="E84" i="31"/>
  <c r="D84" i="31"/>
  <c r="F317" i="3" s="1"/>
  <c r="C84" i="31"/>
  <c r="B84" i="31"/>
  <c r="A84" i="31"/>
  <c r="S83" i="31"/>
  <c r="Q316" i="1" s="1"/>
  <c r="R83" i="31"/>
  <c r="Q83" i="31"/>
  <c r="P83" i="31"/>
  <c r="O83" i="31"/>
  <c r="M316" i="1" s="1"/>
  <c r="N83" i="31"/>
  <c r="M83" i="31"/>
  <c r="L83" i="31"/>
  <c r="K83" i="31"/>
  <c r="I316" i="1" s="1"/>
  <c r="J83" i="31"/>
  <c r="I83" i="31"/>
  <c r="H83" i="31"/>
  <c r="G83" i="31"/>
  <c r="E316" i="1" s="1"/>
  <c r="F83" i="31"/>
  <c r="E83" i="31"/>
  <c r="D83" i="31"/>
  <c r="C83" i="31"/>
  <c r="E316" i="3" s="1"/>
  <c r="B83" i="31"/>
  <c r="A83" i="31"/>
  <c r="S82" i="31"/>
  <c r="R82" i="31"/>
  <c r="P315" i="1" s="1"/>
  <c r="Q82" i="31"/>
  <c r="P82" i="31"/>
  <c r="O82" i="31"/>
  <c r="N82" i="31"/>
  <c r="L315" i="1" s="1"/>
  <c r="M82" i="31"/>
  <c r="L82" i="31"/>
  <c r="K82" i="31"/>
  <c r="J82" i="31"/>
  <c r="H315" i="1" s="1"/>
  <c r="I82" i="31"/>
  <c r="H82" i="31"/>
  <c r="G82" i="31"/>
  <c r="F82" i="31"/>
  <c r="D315" i="1" s="1"/>
  <c r="E82" i="31"/>
  <c r="D82" i="31"/>
  <c r="C82" i="31"/>
  <c r="B82" i="31"/>
  <c r="D315" i="3" s="1"/>
  <c r="A82" i="31"/>
  <c r="S81" i="31"/>
  <c r="R81" i="31"/>
  <c r="Q81" i="31"/>
  <c r="O314" i="1" s="1"/>
  <c r="P81" i="31"/>
  <c r="O81" i="31"/>
  <c r="N81" i="31"/>
  <c r="M81" i="31"/>
  <c r="K314" i="1" s="1"/>
  <c r="L81" i="31"/>
  <c r="K81" i="31"/>
  <c r="J81" i="31"/>
  <c r="I81" i="31"/>
  <c r="G314" i="1" s="1"/>
  <c r="H81" i="31"/>
  <c r="G81" i="31"/>
  <c r="F81" i="31"/>
  <c r="E81" i="31"/>
  <c r="G314" i="3" s="1"/>
  <c r="D81" i="31"/>
  <c r="C81" i="31"/>
  <c r="B81" i="31"/>
  <c r="A81" i="31"/>
  <c r="S80" i="31"/>
  <c r="R80" i="31"/>
  <c r="Q80" i="31"/>
  <c r="P80" i="31"/>
  <c r="N313" i="1" s="1"/>
  <c r="O80" i="31"/>
  <c r="N80" i="31"/>
  <c r="M80" i="31"/>
  <c r="L80" i="31"/>
  <c r="J313" i="1" s="1"/>
  <c r="K80" i="31"/>
  <c r="J80" i="31"/>
  <c r="I80" i="31"/>
  <c r="H80" i="31"/>
  <c r="F313" i="1" s="1"/>
  <c r="G80" i="31"/>
  <c r="F80" i="31"/>
  <c r="E80" i="31"/>
  <c r="D80" i="31"/>
  <c r="F313" i="3" s="1"/>
  <c r="C80" i="31"/>
  <c r="B80" i="31"/>
  <c r="A80" i="31"/>
  <c r="S79" i="31"/>
  <c r="Q312" i="1" s="1"/>
  <c r="R79" i="31"/>
  <c r="Q79" i="31"/>
  <c r="P79" i="31"/>
  <c r="O79" i="31"/>
  <c r="M312" i="1" s="1"/>
  <c r="N79" i="31"/>
  <c r="M79" i="31"/>
  <c r="L79" i="31"/>
  <c r="K79" i="31"/>
  <c r="I312" i="1" s="1"/>
  <c r="J79" i="31"/>
  <c r="I79" i="31"/>
  <c r="H79" i="31"/>
  <c r="G79" i="31"/>
  <c r="E312" i="1" s="1"/>
  <c r="F79" i="31"/>
  <c r="E79" i="31"/>
  <c r="D79" i="31"/>
  <c r="C79" i="31"/>
  <c r="E312" i="3" s="1"/>
  <c r="B79" i="31"/>
  <c r="A79" i="31"/>
  <c r="S78" i="31"/>
  <c r="R78" i="31"/>
  <c r="P311" i="1" s="1"/>
  <c r="Q78" i="31"/>
  <c r="P78" i="31"/>
  <c r="O78" i="31"/>
  <c r="N78" i="31"/>
  <c r="L311" i="1" s="1"/>
  <c r="M78" i="31"/>
  <c r="L78" i="31"/>
  <c r="K78" i="31"/>
  <c r="J78" i="31"/>
  <c r="H311" i="1" s="1"/>
  <c r="I78" i="31"/>
  <c r="H78" i="31"/>
  <c r="G78" i="31"/>
  <c r="F78" i="31"/>
  <c r="D311" i="1" s="1"/>
  <c r="E78" i="31"/>
  <c r="D78" i="31"/>
  <c r="C78" i="31"/>
  <c r="B78" i="31"/>
  <c r="D311" i="3" s="1"/>
  <c r="A78" i="31"/>
  <c r="S77" i="31"/>
  <c r="R77" i="31"/>
  <c r="Q77" i="31"/>
  <c r="O310" i="1" s="1"/>
  <c r="P77" i="31"/>
  <c r="O77" i="31"/>
  <c r="N77" i="31"/>
  <c r="M77" i="31"/>
  <c r="K310" i="1" s="1"/>
  <c r="L77" i="31"/>
  <c r="K77" i="31"/>
  <c r="J77" i="31"/>
  <c r="I77" i="31"/>
  <c r="G310" i="1" s="1"/>
  <c r="H77" i="31"/>
  <c r="G77" i="31"/>
  <c r="F77" i="31"/>
  <c r="E77" i="31"/>
  <c r="G310" i="3" s="1"/>
  <c r="D77" i="31"/>
  <c r="C77" i="31"/>
  <c r="B77" i="31"/>
  <c r="A77" i="31"/>
  <c r="S76" i="31"/>
  <c r="R76" i="31"/>
  <c r="Q76" i="31"/>
  <c r="P76" i="31"/>
  <c r="N309" i="1" s="1"/>
  <c r="O76" i="31"/>
  <c r="N76" i="31"/>
  <c r="M76" i="31"/>
  <c r="L76" i="31"/>
  <c r="J309" i="1" s="1"/>
  <c r="K76" i="31"/>
  <c r="J76" i="31"/>
  <c r="I76" i="31"/>
  <c r="H76" i="31"/>
  <c r="F309" i="1" s="1"/>
  <c r="G76" i="31"/>
  <c r="F76" i="31"/>
  <c r="E76" i="31"/>
  <c r="D76" i="31"/>
  <c r="F309" i="3" s="1"/>
  <c r="C76" i="31"/>
  <c r="B76" i="31"/>
  <c r="A76" i="31"/>
  <c r="S75" i="31"/>
  <c r="Q308" i="1" s="1"/>
  <c r="R75" i="31"/>
  <c r="Q75" i="31"/>
  <c r="P75" i="31"/>
  <c r="O75" i="31"/>
  <c r="M308" i="1" s="1"/>
  <c r="N75" i="31"/>
  <c r="M75" i="31"/>
  <c r="L75" i="31"/>
  <c r="K75" i="31"/>
  <c r="I308" i="1" s="1"/>
  <c r="J75" i="31"/>
  <c r="I75" i="31"/>
  <c r="H75" i="31"/>
  <c r="G75" i="31"/>
  <c r="E308" i="1" s="1"/>
  <c r="F75" i="31"/>
  <c r="E75" i="31"/>
  <c r="D75" i="31"/>
  <c r="C75" i="31"/>
  <c r="E308" i="3" s="1"/>
  <c r="B75" i="31"/>
  <c r="A75" i="31"/>
  <c r="S74" i="31"/>
  <c r="R74" i="31"/>
  <c r="P307" i="1" s="1"/>
  <c r="Q74" i="31"/>
  <c r="P74" i="31"/>
  <c r="O74" i="31"/>
  <c r="N74" i="31"/>
  <c r="L307" i="1" s="1"/>
  <c r="M74" i="31"/>
  <c r="L74" i="31"/>
  <c r="K74" i="31"/>
  <c r="J74" i="31"/>
  <c r="H307" i="1" s="1"/>
  <c r="I74" i="31"/>
  <c r="H74" i="31"/>
  <c r="G74" i="31"/>
  <c r="F74" i="31"/>
  <c r="D307" i="1" s="1"/>
  <c r="E74" i="31"/>
  <c r="D74" i="31"/>
  <c r="C74" i="31"/>
  <c r="B74" i="31"/>
  <c r="D307" i="3" s="1"/>
  <c r="A74" i="31"/>
  <c r="S73" i="31"/>
  <c r="R73" i="31"/>
  <c r="Q73" i="31"/>
  <c r="O306" i="1" s="1"/>
  <c r="P73" i="31"/>
  <c r="O73" i="31"/>
  <c r="N73" i="31"/>
  <c r="M73" i="31"/>
  <c r="K306" i="1" s="1"/>
  <c r="L73" i="31"/>
  <c r="K73" i="31"/>
  <c r="J73" i="31"/>
  <c r="I73" i="31"/>
  <c r="G306" i="1" s="1"/>
  <c r="H73" i="31"/>
  <c r="G73" i="31"/>
  <c r="F73" i="31"/>
  <c r="E73" i="31"/>
  <c r="G306" i="3" s="1"/>
  <c r="D73" i="31"/>
  <c r="C73" i="31"/>
  <c r="B73" i="31"/>
  <c r="A73" i="31"/>
  <c r="S72" i="31"/>
  <c r="R72" i="31"/>
  <c r="Q72" i="31"/>
  <c r="P72" i="31"/>
  <c r="N305" i="1" s="1"/>
  <c r="O72" i="31"/>
  <c r="N72" i="31"/>
  <c r="M72" i="31"/>
  <c r="L72" i="31"/>
  <c r="J305" i="1" s="1"/>
  <c r="K72" i="31"/>
  <c r="J72" i="31"/>
  <c r="I72" i="31"/>
  <c r="H72" i="31"/>
  <c r="F305" i="1" s="1"/>
  <c r="G72" i="31"/>
  <c r="F72" i="31"/>
  <c r="E72" i="31"/>
  <c r="D72" i="31"/>
  <c r="F305" i="3" s="1"/>
  <c r="C72" i="31"/>
  <c r="B72" i="31"/>
  <c r="A72" i="31"/>
  <c r="S71" i="31"/>
  <c r="Q304" i="1" s="1"/>
  <c r="R71" i="31"/>
  <c r="Q71" i="31"/>
  <c r="P71" i="31"/>
  <c r="O71" i="31"/>
  <c r="M304" i="1" s="1"/>
  <c r="N71" i="31"/>
  <c r="M71" i="31"/>
  <c r="L71" i="31"/>
  <c r="K71" i="31"/>
  <c r="I304" i="1" s="1"/>
  <c r="J71" i="31"/>
  <c r="I71" i="31"/>
  <c r="H71" i="31"/>
  <c r="G71" i="31"/>
  <c r="E304" i="1" s="1"/>
  <c r="F71" i="31"/>
  <c r="E71" i="31"/>
  <c r="D71" i="31"/>
  <c r="C71" i="31"/>
  <c r="E304" i="3" s="1"/>
  <c r="B71" i="31"/>
  <c r="A71" i="31"/>
  <c r="S70" i="31"/>
  <c r="R70" i="31"/>
  <c r="P303" i="1" s="1"/>
  <c r="Q70" i="31"/>
  <c r="P70" i="31"/>
  <c r="O70" i="31"/>
  <c r="N70" i="31"/>
  <c r="L303" i="1" s="1"/>
  <c r="M70" i="31"/>
  <c r="L70" i="31"/>
  <c r="K70" i="31"/>
  <c r="J70" i="31"/>
  <c r="H303" i="1" s="1"/>
  <c r="I70" i="31"/>
  <c r="H70" i="31"/>
  <c r="G70" i="31"/>
  <c r="F70" i="31"/>
  <c r="D303" i="1" s="1"/>
  <c r="E70" i="31"/>
  <c r="D70" i="31"/>
  <c r="C70" i="31"/>
  <c r="B70" i="31"/>
  <c r="D303" i="3" s="1"/>
  <c r="A70" i="31"/>
  <c r="S69" i="31"/>
  <c r="R69" i="31"/>
  <c r="Q69" i="31"/>
  <c r="O302" i="1" s="1"/>
  <c r="P69" i="31"/>
  <c r="O69" i="31"/>
  <c r="N69" i="31"/>
  <c r="M69" i="31"/>
  <c r="K302" i="1" s="1"/>
  <c r="L69" i="31"/>
  <c r="K69" i="31"/>
  <c r="J69" i="31"/>
  <c r="I69" i="31"/>
  <c r="G302" i="1" s="1"/>
  <c r="H69" i="31"/>
  <c r="G69" i="31"/>
  <c r="F69" i="31"/>
  <c r="E69" i="31"/>
  <c r="G302" i="3" s="1"/>
  <c r="D69" i="31"/>
  <c r="C69" i="31"/>
  <c r="B69" i="31"/>
  <c r="A69" i="31"/>
  <c r="S68" i="31"/>
  <c r="R68" i="31"/>
  <c r="Q68" i="31"/>
  <c r="P68" i="31"/>
  <c r="N301" i="1" s="1"/>
  <c r="O68" i="31"/>
  <c r="N68" i="31"/>
  <c r="M68" i="31"/>
  <c r="L68" i="31"/>
  <c r="J301" i="1" s="1"/>
  <c r="K68" i="31"/>
  <c r="J68" i="31"/>
  <c r="I68" i="31"/>
  <c r="H68" i="31"/>
  <c r="F301" i="1" s="1"/>
  <c r="G68" i="31"/>
  <c r="F68" i="31"/>
  <c r="E68" i="31"/>
  <c r="D68" i="31"/>
  <c r="F301" i="3" s="1"/>
  <c r="C68" i="31"/>
  <c r="B68" i="31"/>
  <c r="A68" i="31"/>
  <c r="S67" i="31"/>
  <c r="Q300" i="1" s="1"/>
  <c r="R67" i="31"/>
  <c r="Q67" i="31"/>
  <c r="P67" i="31"/>
  <c r="O67" i="31"/>
  <c r="M300" i="1" s="1"/>
  <c r="N67" i="31"/>
  <c r="M67" i="31"/>
  <c r="L67" i="31"/>
  <c r="K67" i="31"/>
  <c r="I300" i="1" s="1"/>
  <c r="J67" i="31"/>
  <c r="I67" i="31"/>
  <c r="H67" i="31"/>
  <c r="G67" i="31"/>
  <c r="E300" i="1" s="1"/>
  <c r="F67" i="31"/>
  <c r="E67" i="31"/>
  <c r="D67" i="31"/>
  <c r="C67" i="31"/>
  <c r="E300" i="3" s="1"/>
  <c r="B67" i="31"/>
  <c r="A67" i="31"/>
  <c r="S66" i="31"/>
  <c r="R66" i="31"/>
  <c r="P299" i="1" s="1"/>
  <c r="Q66" i="31"/>
  <c r="P66" i="31"/>
  <c r="O66" i="31"/>
  <c r="N66" i="31"/>
  <c r="L299" i="1" s="1"/>
  <c r="M66" i="31"/>
  <c r="L66" i="31"/>
  <c r="K66" i="31"/>
  <c r="J66" i="31"/>
  <c r="H299" i="1" s="1"/>
  <c r="I66" i="31"/>
  <c r="H66" i="31"/>
  <c r="G66" i="31"/>
  <c r="F66" i="31"/>
  <c r="D299" i="1" s="1"/>
  <c r="E66" i="31"/>
  <c r="D66" i="31"/>
  <c r="C66" i="31"/>
  <c r="B66" i="31"/>
  <c r="D299" i="3" s="1"/>
  <c r="A66" i="31"/>
  <c r="S65" i="31"/>
  <c r="R65" i="31"/>
  <c r="Q65" i="31"/>
  <c r="O298" i="1" s="1"/>
  <c r="P65" i="31"/>
  <c r="O65" i="31"/>
  <c r="N65" i="31"/>
  <c r="M65" i="31"/>
  <c r="K298" i="1" s="1"/>
  <c r="L65" i="31"/>
  <c r="K65" i="31"/>
  <c r="J65" i="31"/>
  <c r="I65" i="31"/>
  <c r="G298" i="1" s="1"/>
  <c r="H65" i="31"/>
  <c r="G65" i="31"/>
  <c r="F65" i="31"/>
  <c r="E65" i="31"/>
  <c r="G298" i="3" s="1"/>
  <c r="D65" i="31"/>
  <c r="C65" i="31"/>
  <c r="B65" i="31"/>
  <c r="A65" i="31"/>
  <c r="S64" i="31"/>
  <c r="R64" i="31"/>
  <c r="Q64" i="31"/>
  <c r="P64" i="31"/>
  <c r="N297" i="1" s="1"/>
  <c r="O64" i="31"/>
  <c r="N64" i="31"/>
  <c r="M64" i="31"/>
  <c r="L64" i="31"/>
  <c r="J297" i="1" s="1"/>
  <c r="K64" i="31"/>
  <c r="J64" i="31"/>
  <c r="I64" i="31"/>
  <c r="H64" i="31"/>
  <c r="F297" i="1" s="1"/>
  <c r="G64" i="31"/>
  <c r="F64" i="31"/>
  <c r="E64" i="31"/>
  <c r="D64" i="31"/>
  <c r="F297" i="3" s="1"/>
  <c r="C64" i="31"/>
  <c r="B64" i="31"/>
  <c r="A64" i="31"/>
  <c r="S63" i="31"/>
  <c r="Q296" i="1" s="1"/>
  <c r="R63" i="31"/>
  <c r="Q63" i="31"/>
  <c r="P63" i="31"/>
  <c r="O63" i="31"/>
  <c r="M296" i="1" s="1"/>
  <c r="N63" i="31"/>
  <c r="M63" i="31"/>
  <c r="L63" i="31"/>
  <c r="K63" i="31"/>
  <c r="I296" i="1" s="1"/>
  <c r="J63" i="31"/>
  <c r="I63" i="31"/>
  <c r="H63" i="31"/>
  <c r="G63" i="31"/>
  <c r="E296" i="1" s="1"/>
  <c r="F63" i="31"/>
  <c r="E63" i="31"/>
  <c r="D63" i="31"/>
  <c r="C63" i="31"/>
  <c r="E296" i="3" s="1"/>
  <c r="B63" i="31"/>
  <c r="A63" i="31"/>
  <c r="S62" i="31"/>
  <c r="R62" i="31"/>
  <c r="P295" i="1" s="1"/>
  <c r="Q62" i="31"/>
  <c r="P62" i="31"/>
  <c r="O62" i="31"/>
  <c r="N62" i="31"/>
  <c r="L295" i="1" s="1"/>
  <c r="M62" i="31"/>
  <c r="L62" i="31"/>
  <c r="K62" i="31"/>
  <c r="J62" i="31"/>
  <c r="H295" i="1" s="1"/>
  <c r="I62" i="31"/>
  <c r="H62" i="31"/>
  <c r="G62" i="31"/>
  <c r="F62" i="31"/>
  <c r="D295" i="1" s="1"/>
  <c r="E62" i="31"/>
  <c r="D62" i="31"/>
  <c r="C62" i="31"/>
  <c r="B62" i="31"/>
  <c r="D295" i="3" s="1"/>
  <c r="A62" i="31"/>
  <c r="S61" i="31"/>
  <c r="R61" i="31"/>
  <c r="Q61" i="31"/>
  <c r="O294" i="1" s="1"/>
  <c r="P61" i="31"/>
  <c r="O61" i="31"/>
  <c r="N61" i="31"/>
  <c r="M61" i="31"/>
  <c r="K294" i="1" s="1"/>
  <c r="L61" i="31"/>
  <c r="K61" i="31"/>
  <c r="J61" i="31"/>
  <c r="I61" i="31"/>
  <c r="G294" i="1" s="1"/>
  <c r="H61" i="31"/>
  <c r="G61" i="31"/>
  <c r="F61" i="31"/>
  <c r="E61" i="31"/>
  <c r="G294" i="3" s="1"/>
  <c r="D61" i="31"/>
  <c r="C61" i="31"/>
  <c r="B61" i="31"/>
  <c r="A61" i="31"/>
  <c r="S60" i="31"/>
  <c r="R60" i="31"/>
  <c r="Q60" i="31"/>
  <c r="P60" i="31"/>
  <c r="N293" i="1" s="1"/>
  <c r="O60" i="31"/>
  <c r="N60" i="31"/>
  <c r="M60" i="31"/>
  <c r="L60" i="31"/>
  <c r="J293" i="1" s="1"/>
  <c r="K60" i="31"/>
  <c r="J60" i="31"/>
  <c r="I60" i="31"/>
  <c r="H60" i="31"/>
  <c r="F293" i="1" s="1"/>
  <c r="G60" i="31"/>
  <c r="F60" i="31"/>
  <c r="E60" i="31"/>
  <c r="D60" i="31"/>
  <c r="F293" i="3" s="1"/>
  <c r="C60" i="31"/>
  <c r="B60" i="31"/>
  <c r="A60" i="31"/>
  <c r="S59" i="31"/>
  <c r="Q292" i="1" s="1"/>
  <c r="R59" i="31"/>
  <c r="Q59" i="31"/>
  <c r="P59" i="31"/>
  <c r="O59" i="31"/>
  <c r="M292" i="1" s="1"/>
  <c r="N59" i="31"/>
  <c r="M59" i="31"/>
  <c r="L59" i="31"/>
  <c r="K59" i="31"/>
  <c r="I292" i="1" s="1"/>
  <c r="J59" i="31"/>
  <c r="I59" i="31"/>
  <c r="H59" i="31"/>
  <c r="G59" i="31"/>
  <c r="E292" i="1" s="1"/>
  <c r="F59" i="31"/>
  <c r="E59" i="31"/>
  <c r="D59" i="31"/>
  <c r="C59" i="31"/>
  <c r="E292" i="3" s="1"/>
  <c r="B59" i="31"/>
  <c r="A59" i="31"/>
  <c r="S58" i="31"/>
  <c r="R58" i="31"/>
  <c r="P291" i="1" s="1"/>
  <c r="Q58" i="31"/>
  <c r="P58" i="31"/>
  <c r="O58" i="31"/>
  <c r="N58" i="31"/>
  <c r="L291" i="1" s="1"/>
  <c r="M58" i="31"/>
  <c r="L58" i="31"/>
  <c r="K58" i="31"/>
  <c r="J58" i="31"/>
  <c r="H291" i="1" s="1"/>
  <c r="I58" i="31"/>
  <c r="H58" i="31"/>
  <c r="G58" i="31"/>
  <c r="F58" i="31"/>
  <c r="D291" i="1" s="1"/>
  <c r="E58" i="31"/>
  <c r="D58" i="31"/>
  <c r="C58" i="31"/>
  <c r="B58" i="31"/>
  <c r="D291" i="3" s="1"/>
  <c r="A58" i="31"/>
  <c r="S57" i="31"/>
  <c r="R57" i="31"/>
  <c r="Q57" i="31"/>
  <c r="O290" i="1" s="1"/>
  <c r="P57" i="31"/>
  <c r="O57" i="31"/>
  <c r="N57" i="31"/>
  <c r="M57" i="31"/>
  <c r="K290" i="1" s="1"/>
  <c r="L57" i="31"/>
  <c r="K57" i="31"/>
  <c r="J57" i="31"/>
  <c r="I57" i="31"/>
  <c r="G290" i="1" s="1"/>
  <c r="H57" i="31"/>
  <c r="G57" i="31"/>
  <c r="F57" i="31"/>
  <c r="E57" i="31"/>
  <c r="G290" i="3" s="1"/>
  <c r="D57" i="31"/>
  <c r="C57" i="31"/>
  <c r="B57" i="31"/>
  <c r="A57" i="31"/>
  <c r="S56" i="31"/>
  <c r="R56" i="31"/>
  <c r="Q56" i="31"/>
  <c r="P56" i="31"/>
  <c r="N289" i="1" s="1"/>
  <c r="O56" i="31"/>
  <c r="N56" i="31"/>
  <c r="M56" i="31"/>
  <c r="L56" i="31"/>
  <c r="J289" i="1" s="1"/>
  <c r="K56" i="31"/>
  <c r="J56" i="31"/>
  <c r="I56" i="31"/>
  <c r="H56" i="31"/>
  <c r="F289" i="1" s="1"/>
  <c r="G56" i="31"/>
  <c r="F56" i="31"/>
  <c r="E56" i="31"/>
  <c r="D56" i="31"/>
  <c r="F289" i="3" s="1"/>
  <c r="C56" i="31"/>
  <c r="B56" i="31"/>
  <c r="A56" i="31"/>
  <c r="S55" i="31"/>
  <c r="Q288" i="1" s="1"/>
  <c r="R55" i="31"/>
  <c r="Q55" i="31"/>
  <c r="P55" i="31"/>
  <c r="O55" i="31"/>
  <c r="M288" i="1" s="1"/>
  <c r="N55" i="31"/>
  <c r="M55" i="31"/>
  <c r="L55" i="31"/>
  <c r="K55" i="31"/>
  <c r="I288" i="1" s="1"/>
  <c r="J55" i="31"/>
  <c r="I55" i="31"/>
  <c r="H55" i="31"/>
  <c r="G55" i="31"/>
  <c r="E288" i="1" s="1"/>
  <c r="F55" i="31"/>
  <c r="E55" i="31"/>
  <c r="D55" i="31"/>
  <c r="C55" i="31"/>
  <c r="E288" i="3" s="1"/>
  <c r="B55" i="31"/>
  <c r="A55" i="31"/>
  <c r="S54" i="31"/>
  <c r="R54" i="31"/>
  <c r="P287" i="1" s="1"/>
  <c r="Q54" i="31"/>
  <c r="P54" i="31"/>
  <c r="O54" i="31"/>
  <c r="N54" i="31"/>
  <c r="L287" i="1" s="1"/>
  <c r="M54" i="31"/>
  <c r="L54" i="31"/>
  <c r="K54" i="31"/>
  <c r="J54" i="31"/>
  <c r="H287" i="1" s="1"/>
  <c r="I54" i="31"/>
  <c r="H54" i="31"/>
  <c r="G54" i="31"/>
  <c r="F54" i="31"/>
  <c r="D287" i="1" s="1"/>
  <c r="E54" i="31"/>
  <c r="D54" i="31"/>
  <c r="C54" i="31"/>
  <c r="B54" i="31"/>
  <c r="D287" i="3" s="1"/>
  <c r="A54" i="31"/>
  <c r="S53" i="31"/>
  <c r="R53" i="31"/>
  <c r="Q53" i="31"/>
  <c r="O286" i="1" s="1"/>
  <c r="P53" i="31"/>
  <c r="O53" i="31"/>
  <c r="N53" i="31"/>
  <c r="M53" i="31"/>
  <c r="K286" i="1" s="1"/>
  <c r="L53" i="31"/>
  <c r="K53" i="31"/>
  <c r="J53" i="31"/>
  <c r="I53" i="31"/>
  <c r="G286" i="1" s="1"/>
  <c r="H53" i="31"/>
  <c r="G53" i="31"/>
  <c r="F53" i="31"/>
  <c r="E53" i="31"/>
  <c r="G286" i="3" s="1"/>
  <c r="D53" i="31"/>
  <c r="C53" i="31"/>
  <c r="B53" i="31"/>
  <c r="A53" i="31"/>
  <c r="S52" i="31"/>
  <c r="R52" i="31"/>
  <c r="Q52" i="31"/>
  <c r="P52" i="31"/>
  <c r="N285" i="1" s="1"/>
  <c r="O52" i="31"/>
  <c r="N52" i="31"/>
  <c r="M52" i="31"/>
  <c r="L52" i="31"/>
  <c r="J285" i="1" s="1"/>
  <c r="K52" i="31"/>
  <c r="J52" i="31"/>
  <c r="I52" i="31"/>
  <c r="H52" i="31"/>
  <c r="F285" i="1" s="1"/>
  <c r="G52" i="31"/>
  <c r="F52" i="31"/>
  <c r="E52" i="31"/>
  <c r="D52" i="31"/>
  <c r="F285" i="3" s="1"/>
  <c r="C52" i="31"/>
  <c r="B52" i="31"/>
  <c r="A52" i="31"/>
  <c r="S51" i="31"/>
  <c r="Q284" i="1" s="1"/>
  <c r="R51" i="31"/>
  <c r="Q51" i="31"/>
  <c r="P51" i="31"/>
  <c r="O51" i="31"/>
  <c r="M284" i="1" s="1"/>
  <c r="N51" i="31"/>
  <c r="M51" i="31"/>
  <c r="L51" i="31"/>
  <c r="K51" i="31"/>
  <c r="I284" i="1" s="1"/>
  <c r="J51" i="31"/>
  <c r="I51" i="31"/>
  <c r="H51" i="31"/>
  <c r="G51" i="31"/>
  <c r="E284" i="1" s="1"/>
  <c r="F51" i="31"/>
  <c r="E51" i="31"/>
  <c r="D51" i="31"/>
  <c r="C51" i="31"/>
  <c r="E284" i="3" s="1"/>
  <c r="B51" i="31"/>
  <c r="A51" i="31"/>
  <c r="S50" i="31"/>
  <c r="R50" i="31"/>
  <c r="P283" i="1" s="1"/>
  <c r="Q50" i="31"/>
  <c r="P50" i="31"/>
  <c r="O50" i="31"/>
  <c r="N50" i="31"/>
  <c r="L283" i="1" s="1"/>
  <c r="M50" i="31"/>
  <c r="L50" i="31"/>
  <c r="K50" i="31"/>
  <c r="J50" i="31"/>
  <c r="H283" i="1" s="1"/>
  <c r="I50" i="31"/>
  <c r="H50" i="31"/>
  <c r="G50" i="31"/>
  <c r="F50" i="31"/>
  <c r="D283" i="1" s="1"/>
  <c r="E50" i="31"/>
  <c r="D50" i="31"/>
  <c r="C50" i="31"/>
  <c r="B50" i="31"/>
  <c r="D283" i="3" s="1"/>
  <c r="A50" i="31"/>
  <c r="S49" i="31"/>
  <c r="R49" i="31"/>
  <c r="Q49" i="31"/>
  <c r="O282" i="1" s="1"/>
  <c r="P49" i="31"/>
  <c r="O49" i="31"/>
  <c r="N49" i="31"/>
  <c r="M49" i="31"/>
  <c r="K282" i="1" s="1"/>
  <c r="L49" i="31"/>
  <c r="K49" i="31"/>
  <c r="J49" i="31"/>
  <c r="I49" i="31"/>
  <c r="G282" i="1" s="1"/>
  <c r="H49" i="31"/>
  <c r="G49" i="31"/>
  <c r="F49" i="31"/>
  <c r="E49" i="31"/>
  <c r="G282" i="3" s="1"/>
  <c r="D49" i="31"/>
  <c r="C49" i="31"/>
  <c r="B49" i="31"/>
  <c r="A49" i="31"/>
  <c r="S48" i="31"/>
  <c r="R48" i="31"/>
  <c r="Q48" i="31"/>
  <c r="P48" i="31"/>
  <c r="N281" i="1" s="1"/>
  <c r="O48" i="31"/>
  <c r="N48" i="31"/>
  <c r="M48" i="31"/>
  <c r="L48" i="31"/>
  <c r="J281" i="1" s="1"/>
  <c r="K48" i="31"/>
  <c r="J48" i="31"/>
  <c r="I48" i="31"/>
  <c r="H48" i="31"/>
  <c r="F281" i="1" s="1"/>
  <c r="G48" i="31"/>
  <c r="F48" i="31"/>
  <c r="E48" i="31"/>
  <c r="D48" i="31"/>
  <c r="F281" i="3" s="1"/>
  <c r="C48" i="31"/>
  <c r="B48" i="31"/>
  <c r="A48" i="31"/>
  <c r="S47" i="31"/>
  <c r="Q280" i="1" s="1"/>
  <c r="R47" i="31"/>
  <c r="Q47" i="31"/>
  <c r="P47" i="31"/>
  <c r="O47" i="31"/>
  <c r="M280" i="1" s="1"/>
  <c r="N47" i="31"/>
  <c r="M47" i="31"/>
  <c r="L47" i="31"/>
  <c r="K47" i="31"/>
  <c r="I280" i="1" s="1"/>
  <c r="J47" i="31"/>
  <c r="I47" i="31"/>
  <c r="H47" i="31"/>
  <c r="G47" i="31"/>
  <c r="E280" i="1" s="1"/>
  <c r="F47" i="31"/>
  <c r="E47" i="31"/>
  <c r="D47" i="31"/>
  <c r="C47" i="31"/>
  <c r="E280" i="3" s="1"/>
  <c r="B47" i="31"/>
  <c r="A47" i="31"/>
  <c r="S46" i="31"/>
  <c r="R46" i="31"/>
  <c r="P279" i="1" s="1"/>
  <c r="Q46" i="31"/>
  <c r="P46" i="31"/>
  <c r="O46" i="31"/>
  <c r="N46" i="31"/>
  <c r="L279" i="1" s="1"/>
  <c r="M46" i="31"/>
  <c r="L46" i="31"/>
  <c r="K46" i="31"/>
  <c r="J46" i="31"/>
  <c r="H279" i="1" s="1"/>
  <c r="I46" i="31"/>
  <c r="H46" i="31"/>
  <c r="G46" i="31"/>
  <c r="F46" i="31"/>
  <c r="D279" i="1" s="1"/>
  <c r="E46" i="31"/>
  <c r="D46" i="31"/>
  <c r="C46" i="31"/>
  <c r="B46" i="31"/>
  <c r="D279" i="3" s="1"/>
  <c r="A46" i="31"/>
  <c r="S45" i="31"/>
  <c r="R45" i="31"/>
  <c r="Q45" i="31"/>
  <c r="O278" i="1" s="1"/>
  <c r="P45" i="31"/>
  <c r="O45" i="31"/>
  <c r="N45" i="31"/>
  <c r="M45" i="31"/>
  <c r="K278" i="1" s="1"/>
  <c r="L45" i="31"/>
  <c r="K45" i="31"/>
  <c r="J45" i="31"/>
  <c r="I45" i="31"/>
  <c r="G278" i="1" s="1"/>
  <c r="H45" i="31"/>
  <c r="G45" i="31"/>
  <c r="F45" i="31"/>
  <c r="E45" i="31"/>
  <c r="G278" i="3" s="1"/>
  <c r="D45" i="31"/>
  <c r="C45" i="31"/>
  <c r="B45" i="31"/>
  <c r="A45" i="31"/>
  <c r="S44" i="31"/>
  <c r="R44" i="31"/>
  <c r="Q44" i="31"/>
  <c r="P44" i="31"/>
  <c r="N277" i="1" s="1"/>
  <c r="O44" i="31"/>
  <c r="N44" i="31"/>
  <c r="M44" i="31"/>
  <c r="L44" i="31"/>
  <c r="J277" i="1" s="1"/>
  <c r="K44" i="31"/>
  <c r="J44" i="31"/>
  <c r="I44" i="31"/>
  <c r="H44" i="31"/>
  <c r="F277" i="1" s="1"/>
  <c r="G44" i="31"/>
  <c r="F44" i="31"/>
  <c r="E44" i="31"/>
  <c r="D44" i="31"/>
  <c r="F277" i="3" s="1"/>
  <c r="C44" i="31"/>
  <c r="B44" i="31"/>
  <c r="A44" i="31"/>
  <c r="S43" i="31"/>
  <c r="Q276" i="1" s="1"/>
  <c r="R43" i="31"/>
  <c r="Q43" i="31"/>
  <c r="P43" i="31"/>
  <c r="O43" i="31"/>
  <c r="M276" i="1" s="1"/>
  <c r="N43" i="31"/>
  <c r="M43" i="31"/>
  <c r="L43" i="31"/>
  <c r="K43" i="31"/>
  <c r="I276" i="1" s="1"/>
  <c r="J43" i="31"/>
  <c r="I43" i="31"/>
  <c r="H43" i="31"/>
  <c r="G43" i="31"/>
  <c r="E276" i="1" s="1"/>
  <c r="F43" i="31"/>
  <c r="E43" i="31"/>
  <c r="D43" i="31"/>
  <c r="C43" i="31"/>
  <c r="E276" i="3" s="1"/>
  <c r="B43" i="31"/>
  <c r="A43" i="31"/>
  <c r="S42" i="31"/>
  <c r="R42" i="31"/>
  <c r="P275" i="1" s="1"/>
  <c r="Q42" i="31"/>
  <c r="P42" i="31"/>
  <c r="O42" i="31"/>
  <c r="N42" i="31"/>
  <c r="L275" i="1" s="1"/>
  <c r="M42" i="31"/>
  <c r="L42" i="31"/>
  <c r="K42" i="31"/>
  <c r="J42" i="31"/>
  <c r="H275" i="1" s="1"/>
  <c r="I42" i="31"/>
  <c r="H42" i="31"/>
  <c r="G42" i="31"/>
  <c r="F42" i="31"/>
  <c r="D275" i="1" s="1"/>
  <c r="E42" i="31"/>
  <c r="D42" i="31"/>
  <c r="C42" i="31"/>
  <c r="B42" i="31"/>
  <c r="D275" i="3" s="1"/>
  <c r="A42" i="31"/>
  <c r="S41" i="31"/>
  <c r="R41" i="31"/>
  <c r="Q41" i="31"/>
  <c r="O274" i="1" s="1"/>
  <c r="P41" i="31"/>
  <c r="O41" i="31"/>
  <c r="N41" i="31"/>
  <c r="M41" i="31"/>
  <c r="K274" i="1" s="1"/>
  <c r="L41" i="31"/>
  <c r="K41" i="31"/>
  <c r="J41" i="31"/>
  <c r="I41" i="31"/>
  <c r="G274" i="1" s="1"/>
  <c r="H41" i="31"/>
  <c r="G41" i="31"/>
  <c r="F41" i="31"/>
  <c r="E41" i="31"/>
  <c r="G274" i="3" s="1"/>
  <c r="D41" i="31"/>
  <c r="C41" i="31"/>
  <c r="B41" i="31"/>
  <c r="A41" i="31"/>
  <c r="C274" i="3" s="1"/>
  <c r="S40" i="31"/>
  <c r="R40" i="31"/>
  <c r="Q40" i="31"/>
  <c r="P40" i="31"/>
  <c r="N273" i="1" s="1"/>
  <c r="O40" i="31"/>
  <c r="N40" i="31"/>
  <c r="M40" i="31"/>
  <c r="L40" i="31"/>
  <c r="J273" i="1" s="1"/>
  <c r="K40" i="31"/>
  <c r="J40" i="31"/>
  <c r="I40" i="31"/>
  <c r="H40" i="31"/>
  <c r="F273" i="1" s="1"/>
  <c r="G40" i="31"/>
  <c r="F40" i="31"/>
  <c r="E40" i="31"/>
  <c r="D40" i="31"/>
  <c r="F273" i="3" s="1"/>
  <c r="C40" i="31"/>
  <c r="B40" i="31"/>
  <c r="A40" i="31"/>
  <c r="S39" i="31"/>
  <c r="Q272" i="1" s="1"/>
  <c r="R39" i="31"/>
  <c r="Q39" i="31"/>
  <c r="P39" i="31"/>
  <c r="O39" i="31"/>
  <c r="M272" i="1" s="1"/>
  <c r="N39" i="31"/>
  <c r="M39" i="31"/>
  <c r="L39" i="31"/>
  <c r="K39" i="31"/>
  <c r="I272" i="1" s="1"/>
  <c r="J39" i="31"/>
  <c r="I39" i="31"/>
  <c r="H39" i="31"/>
  <c r="G39" i="31"/>
  <c r="E272" i="1" s="1"/>
  <c r="F39" i="31"/>
  <c r="E39" i="31"/>
  <c r="D39" i="31"/>
  <c r="C39" i="31"/>
  <c r="E272" i="3" s="1"/>
  <c r="B39" i="31"/>
  <c r="A39" i="31"/>
  <c r="S38" i="31"/>
  <c r="R38" i="31"/>
  <c r="P271" i="1" s="1"/>
  <c r="Q38" i="31"/>
  <c r="P38" i="31"/>
  <c r="O38" i="31"/>
  <c r="N38" i="31"/>
  <c r="L271" i="1" s="1"/>
  <c r="M38" i="31"/>
  <c r="L38" i="31"/>
  <c r="K38" i="31"/>
  <c r="J38" i="31"/>
  <c r="H271" i="1" s="1"/>
  <c r="I38" i="31"/>
  <c r="H38" i="31"/>
  <c r="G38" i="31"/>
  <c r="F38" i="31"/>
  <c r="D271" i="1" s="1"/>
  <c r="E38" i="31"/>
  <c r="D38" i="31"/>
  <c r="C38" i="31"/>
  <c r="B38" i="31"/>
  <c r="D271" i="3" s="1"/>
  <c r="A38" i="31"/>
  <c r="S37" i="31"/>
  <c r="R37" i="31"/>
  <c r="Q37" i="31"/>
  <c r="O270" i="1" s="1"/>
  <c r="P37" i="31"/>
  <c r="O37" i="31"/>
  <c r="N37" i="31"/>
  <c r="M37" i="31"/>
  <c r="K270" i="1" s="1"/>
  <c r="L37" i="31"/>
  <c r="K37" i="31"/>
  <c r="J37" i="31"/>
  <c r="I37" i="31"/>
  <c r="G270" i="1" s="1"/>
  <c r="H37" i="31"/>
  <c r="G37" i="31"/>
  <c r="F37" i="31"/>
  <c r="E37" i="31"/>
  <c r="G270" i="3" s="1"/>
  <c r="D37" i="31"/>
  <c r="C37" i="31"/>
  <c r="B37" i="31"/>
  <c r="A37" i="31"/>
  <c r="S36" i="31"/>
  <c r="R36" i="31"/>
  <c r="Q36" i="31"/>
  <c r="P36" i="31"/>
  <c r="N269" i="1" s="1"/>
  <c r="O36" i="31"/>
  <c r="N36" i="31"/>
  <c r="M36" i="31"/>
  <c r="L36" i="31"/>
  <c r="J269" i="1" s="1"/>
  <c r="K36" i="31"/>
  <c r="J36" i="31"/>
  <c r="I36" i="31"/>
  <c r="H36" i="31"/>
  <c r="F269" i="1" s="1"/>
  <c r="G36" i="31"/>
  <c r="F36" i="31"/>
  <c r="E36" i="31"/>
  <c r="D36" i="31"/>
  <c r="F269" i="3" s="1"/>
  <c r="C36" i="31"/>
  <c r="B36" i="31"/>
  <c r="A36" i="31"/>
  <c r="S35" i="31"/>
  <c r="Q268" i="1" s="1"/>
  <c r="R35" i="31"/>
  <c r="Q35" i="31"/>
  <c r="P35" i="31"/>
  <c r="O35" i="31"/>
  <c r="M268" i="1" s="1"/>
  <c r="N35" i="31"/>
  <c r="M35" i="31"/>
  <c r="L35" i="31"/>
  <c r="K35" i="31"/>
  <c r="I268" i="1" s="1"/>
  <c r="J35" i="31"/>
  <c r="I35" i="31"/>
  <c r="H35" i="31"/>
  <c r="G35" i="31"/>
  <c r="E268" i="1" s="1"/>
  <c r="F35" i="31"/>
  <c r="E35" i="31"/>
  <c r="D35" i="31"/>
  <c r="C35" i="31"/>
  <c r="E268" i="3" s="1"/>
  <c r="B35" i="31"/>
  <c r="A35" i="31"/>
  <c r="S34" i="31"/>
  <c r="R34" i="31"/>
  <c r="P267" i="1" s="1"/>
  <c r="Q34" i="31"/>
  <c r="P34" i="31"/>
  <c r="O34" i="31"/>
  <c r="N34" i="31"/>
  <c r="L267" i="1" s="1"/>
  <c r="M34" i="31"/>
  <c r="L34" i="31"/>
  <c r="K34" i="31"/>
  <c r="J34" i="31"/>
  <c r="H267" i="1" s="1"/>
  <c r="I34" i="31"/>
  <c r="H34" i="31"/>
  <c r="G34" i="31"/>
  <c r="F34" i="31"/>
  <c r="D267" i="1" s="1"/>
  <c r="E34" i="31"/>
  <c r="D34" i="31"/>
  <c r="C34" i="31"/>
  <c r="B34" i="31"/>
  <c r="D267" i="3" s="1"/>
  <c r="A34" i="31"/>
  <c r="S33" i="31"/>
  <c r="R33" i="31"/>
  <c r="Q33" i="31"/>
  <c r="O266" i="1" s="1"/>
  <c r="P33" i="31"/>
  <c r="O33" i="31"/>
  <c r="N33" i="31"/>
  <c r="M33" i="31"/>
  <c r="K266" i="1" s="1"/>
  <c r="L33" i="31"/>
  <c r="K33" i="31"/>
  <c r="J33" i="31"/>
  <c r="I33" i="31"/>
  <c r="G266" i="1" s="1"/>
  <c r="H33" i="31"/>
  <c r="G33" i="31"/>
  <c r="F33" i="31"/>
  <c r="E33" i="31"/>
  <c r="G266" i="3" s="1"/>
  <c r="D33" i="31"/>
  <c r="C33" i="31"/>
  <c r="B33" i="31"/>
  <c r="A33" i="31"/>
  <c r="S32" i="31"/>
  <c r="R32" i="31"/>
  <c r="Q32" i="31"/>
  <c r="P32" i="31"/>
  <c r="N265" i="1" s="1"/>
  <c r="O32" i="31"/>
  <c r="N32" i="31"/>
  <c r="M32" i="31"/>
  <c r="L32" i="31"/>
  <c r="J265" i="1" s="1"/>
  <c r="K32" i="31"/>
  <c r="J32" i="31"/>
  <c r="I32" i="31"/>
  <c r="H32" i="31"/>
  <c r="F265" i="1" s="1"/>
  <c r="G32" i="31"/>
  <c r="F32" i="31"/>
  <c r="E32" i="31"/>
  <c r="D32" i="31"/>
  <c r="F265" i="3" s="1"/>
  <c r="C32" i="31"/>
  <c r="B32" i="31"/>
  <c r="A32" i="31"/>
  <c r="S31" i="31"/>
  <c r="Q264" i="1" s="1"/>
  <c r="R31" i="31"/>
  <c r="Q31" i="31"/>
  <c r="P31" i="31"/>
  <c r="O31" i="31"/>
  <c r="M264" i="1" s="1"/>
  <c r="N31" i="31"/>
  <c r="M31" i="31"/>
  <c r="L31" i="31"/>
  <c r="K31" i="31"/>
  <c r="I264" i="1" s="1"/>
  <c r="J31" i="31"/>
  <c r="I31" i="31"/>
  <c r="H31" i="31"/>
  <c r="G31" i="31"/>
  <c r="E264" i="1" s="1"/>
  <c r="F31" i="31"/>
  <c r="E31" i="31"/>
  <c r="D31" i="31"/>
  <c r="C31" i="31"/>
  <c r="E264" i="3" s="1"/>
  <c r="B31" i="31"/>
  <c r="A31" i="31"/>
  <c r="S30" i="31"/>
  <c r="R30" i="31"/>
  <c r="P263" i="1" s="1"/>
  <c r="Q30" i="31"/>
  <c r="P30" i="31"/>
  <c r="O30" i="31"/>
  <c r="N30" i="31"/>
  <c r="L263" i="1" s="1"/>
  <c r="M30" i="31"/>
  <c r="L30" i="31"/>
  <c r="K30" i="31"/>
  <c r="J30" i="31"/>
  <c r="H263" i="1" s="1"/>
  <c r="I30" i="31"/>
  <c r="H30" i="31"/>
  <c r="G30" i="31"/>
  <c r="F30" i="31"/>
  <c r="D263" i="1" s="1"/>
  <c r="E30" i="31"/>
  <c r="D30" i="31"/>
  <c r="C30" i="31"/>
  <c r="B30" i="31"/>
  <c r="D263" i="3" s="1"/>
  <c r="A30" i="31"/>
  <c r="S29" i="31"/>
  <c r="R29" i="31"/>
  <c r="Q29" i="31"/>
  <c r="O262" i="1" s="1"/>
  <c r="P29" i="31"/>
  <c r="O29" i="31"/>
  <c r="N29" i="31"/>
  <c r="M29" i="31"/>
  <c r="K262" i="1" s="1"/>
  <c r="L29" i="31"/>
  <c r="K29" i="31"/>
  <c r="J29" i="31"/>
  <c r="I29" i="31"/>
  <c r="G262" i="1" s="1"/>
  <c r="H29" i="31"/>
  <c r="G29" i="31"/>
  <c r="F29" i="31"/>
  <c r="E29" i="31"/>
  <c r="G262" i="3" s="1"/>
  <c r="D29" i="31"/>
  <c r="C29" i="31"/>
  <c r="B29" i="31"/>
  <c r="A29" i="31"/>
  <c r="S28" i="31"/>
  <c r="R28" i="31"/>
  <c r="Q28" i="31"/>
  <c r="P28" i="31"/>
  <c r="N261" i="1" s="1"/>
  <c r="O28" i="31"/>
  <c r="N28" i="31"/>
  <c r="M28" i="31"/>
  <c r="L28" i="31"/>
  <c r="J261" i="1" s="1"/>
  <c r="K28" i="31"/>
  <c r="J28" i="31"/>
  <c r="I28" i="31"/>
  <c r="H28" i="31"/>
  <c r="F261" i="1" s="1"/>
  <c r="G28" i="31"/>
  <c r="F28" i="31"/>
  <c r="E28" i="31"/>
  <c r="D28" i="31"/>
  <c r="F261" i="3" s="1"/>
  <c r="C28" i="31"/>
  <c r="B28" i="31"/>
  <c r="A28" i="31"/>
  <c r="S27" i="31"/>
  <c r="Q260" i="1" s="1"/>
  <c r="R27" i="31"/>
  <c r="Q27" i="31"/>
  <c r="P27" i="31"/>
  <c r="O27" i="31"/>
  <c r="M260" i="1" s="1"/>
  <c r="N27" i="31"/>
  <c r="M27" i="31"/>
  <c r="L27" i="31"/>
  <c r="K27" i="31"/>
  <c r="I260" i="1" s="1"/>
  <c r="J27" i="31"/>
  <c r="I27" i="31"/>
  <c r="H27" i="31"/>
  <c r="G27" i="31"/>
  <c r="E260" i="1" s="1"/>
  <c r="F27" i="31"/>
  <c r="E27" i="31"/>
  <c r="D27" i="31"/>
  <c r="C27" i="31"/>
  <c r="E260" i="3" s="1"/>
  <c r="B27" i="31"/>
  <c r="A27" i="31"/>
  <c r="S26" i="31"/>
  <c r="R26" i="31"/>
  <c r="P259" i="1" s="1"/>
  <c r="Q26" i="31"/>
  <c r="P26" i="31"/>
  <c r="O26" i="31"/>
  <c r="N26" i="31"/>
  <c r="L259" i="1" s="1"/>
  <c r="M26" i="31"/>
  <c r="L26" i="31"/>
  <c r="K26" i="31"/>
  <c r="J26" i="31"/>
  <c r="H259" i="1" s="1"/>
  <c r="I26" i="31"/>
  <c r="H26" i="31"/>
  <c r="G26" i="31"/>
  <c r="F26" i="31"/>
  <c r="D259" i="1" s="1"/>
  <c r="E26" i="31"/>
  <c r="D26" i="31"/>
  <c r="C26" i="31"/>
  <c r="B26" i="31"/>
  <c r="D259" i="3" s="1"/>
  <c r="A26" i="31"/>
  <c r="S25" i="31"/>
  <c r="R25" i="31"/>
  <c r="Q25" i="31"/>
  <c r="O258" i="1" s="1"/>
  <c r="P25" i="31"/>
  <c r="O25" i="31"/>
  <c r="N25" i="31"/>
  <c r="M25" i="31"/>
  <c r="K258" i="1" s="1"/>
  <c r="L25" i="31"/>
  <c r="K25" i="31"/>
  <c r="J25" i="31"/>
  <c r="I25" i="31"/>
  <c r="G258" i="1" s="1"/>
  <c r="H25" i="31"/>
  <c r="G25" i="31"/>
  <c r="F25" i="31"/>
  <c r="E25" i="31"/>
  <c r="G258" i="3" s="1"/>
  <c r="D25" i="31"/>
  <c r="C25" i="31"/>
  <c r="B25" i="31"/>
  <c r="A25" i="31"/>
  <c r="C258" i="3" s="1"/>
  <c r="S24" i="31"/>
  <c r="R24" i="31"/>
  <c r="Q24" i="31"/>
  <c r="P24" i="31"/>
  <c r="N257" i="1" s="1"/>
  <c r="O24" i="31"/>
  <c r="N24" i="31"/>
  <c r="M24" i="31"/>
  <c r="L24" i="31"/>
  <c r="J257" i="1" s="1"/>
  <c r="K24" i="31"/>
  <c r="J24" i="31"/>
  <c r="I24" i="31"/>
  <c r="H24" i="31"/>
  <c r="F257" i="1" s="1"/>
  <c r="G24" i="31"/>
  <c r="F24" i="31"/>
  <c r="E24" i="31"/>
  <c r="D24" i="31"/>
  <c r="F257" i="3" s="1"/>
  <c r="C24" i="31"/>
  <c r="B24" i="31"/>
  <c r="A24" i="31"/>
  <c r="S23" i="31"/>
  <c r="Q256" i="1" s="1"/>
  <c r="R23" i="31"/>
  <c r="Q23" i="31"/>
  <c r="P23" i="31"/>
  <c r="O23" i="31"/>
  <c r="M256" i="1" s="1"/>
  <c r="N23" i="31"/>
  <c r="M23" i="31"/>
  <c r="L23" i="31"/>
  <c r="K23" i="31"/>
  <c r="I256" i="1" s="1"/>
  <c r="J23" i="31"/>
  <c r="I23" i="31"/>
  <c r="H23" i="31"/>
  <c r="G23" i="31"/>
  <c r="E256" i="1" s="1"/>
  <c r="F23" i="31"/>
  <c r="E23" i="31"/>
  <c r="D23" i="31"/>
  <c r="C23" i="31"/>
  <c r="E256" i="3" s="1"/>
  <c r="B23" i="31"/>
  <c r="A23" i="31"/>
  <c r="S22" i="31"/>
  <c r="R22" i="31"/>
  <c r="P255" i="1" s="1"/>
  <c r="Q22" i="31"/>
  <c r="P22" i="31"/>
  <c r="O22" i="31"/>
  <c r="N22" i="31"/>
  <c r="L255" i="1" s="1"/>
  <c r="M22" i="31"/>
  <c r="L22" i="31"/>
  <c r="K22" i="31"/>
  <c r="J22" i="31"/>
  <c r="H255" i="1" s="1"/>
  <c r="I22" i="31"/>
  <c r="H22" i="31"/>
  <c r="G22" i="31"/>
  <c r="F22" i="31"/>
  <c r="D255" i="1" s="1"/>
  <c r="E22" i="31"/>
  <c r="D22" i="31"/>
  <c r="C22" i="31"/>
  <c r="B22" i="31"/>
  <c r="D255" i="3" s="1"/>
  <c r="A22" i="31"/>
  <c r="S21" i="31"/>
  <c r="R21" i="31"/>
  <c r="Q21" i="31"/>
  <c r="O254" i="1" s="1"/>
  <c r="P21" i="31"/>
  <c r="O21" i="31"/>
  <c r="N21" i="31"/>
  <c r="M21" i="31"/>
  <c r="K254" i="1" s="1"/>
  <c r="L21" i="31"/>
  <c r="K21" i="31"/>
  <c r="J21" i="31"/>
  <c r="I21" i="31"/>
  <c r="G254" i="1" s="1"/>
  <c r="H21" i="31"/>
  <c r="G21" i="31"/>
  <c r="F21" i="31"/>
  <c r="E21" i="31"/>
  <c r="G254" i="3" s="1"/>
  <c r="D21" i="31"/>
  <c r="C21" i="31"/>
  <c r="B21" i="31"/>
  <c r="A21" i="31"/>
  <c r="S20" i="31"/>
  <c r="R20" i="31"/>
  <c r="Q20" i="31"/>
  <c r="P20" i="31"/>
  <c r="N253" i="1" s="1"/>
  <c r="O20" i="31"/>
  <c r="N20" i="31"/>
  <c r="M20" i="31"/>
  <c r="L20" i="31"/>
  <c r="J253" i="1" s="1"/>
  <c r="K20" i="31"/>
  <c r="J20" i="31"/>
  <c r="I20" i="31"/>
  <c r="H20" i="31"/>
  <c r="F253" i="1" s="1"/>
  <c r="G20" i="31"/>
  <c r="F20" i="31"/>
  <c r="E20" i="31"/>
  <c r="D20" i="31"/>
  <c r="F253" i="3" s="1"/>
  <c r="C20" i="31"/>
  <c r="B20" i="31"/>
  <c r="A20" i="31"/>
  <c r="S19" i="31"/>
  <c r="Q252" i="1" s="1"/>
  <c r="R19" i="31"/>
  <c r="Q19" i="31"/>
  <c r="P19" i="31"/>
  <c r="O19" i="31"/>
  <c r="M252" i="1" s="1"/>
  <c r="N19" i="31"/>
  <c r="M19" i="31"/>
  <c r="L19" i="31"/>
  <c r="K19" i="31"/>
  <c r="I252" i="1" s="1"/>
  <c r="J19" i="31"/>
  <c r="I19" i="31"/>
  <c r="H19" i="31"/>
  <c r="G19" i="31"/>
  <c r="E252" i="1" s="1"/>
  <c r="F19" i="31"/>
  <c r="E19" i="31"/>
  <c r="D19" i="31"/>
  <c r="C19" i="31"/>
  <c r="E252" i="3" s="1"/>
  <c r="B19" i="31"/>
  <c r="A19" i="31"/>
  <c r="S18" i="31"/>
  <c r="R18" i="31"/>
  <c r="P251" i="1" s="1"/>
  <c r="Q18" i="31"/>
  <c r="P18" i="31"/>
  <c r="O18" i="31"/>
  <c r="N18" i="31"/>
  <c r="L251" i="1" s="1"/>
  <c r="M18" i="31"/>
  <c r="L18" i="31"/>
  <c r="K18" i="31"/>
  <c r="J18" i="31"/>
  <c r="H251" i="1" s="1"/>
  <c r="I18" i="31"/>
  <c r="H18" i="31"/>
  <c r="G18" i="31"/>
  <c r="F18" i="31"/>
  <c r="D251" i="1" s="1"/>
  <c r="E18" i="31"/>
  <c r="D18" i="31"/>
  <c r="C18" i="31"/>
  <c r="B18" i="31"/>
  <c r="D251" i="3" s="1"/>
  <c r="A18" i="31"/>
  <c r="S17" i="31"/>
  <c r="R17" i="31"/>
  <c r="Q17" i="31"/>
  <c r="O250" i="1" s="1"/>
  <c r="P17" i="31"/>
  <c r="O17" i="31"/>
  <c r="N17" i="31"/>
  <c r="M17" i="31"/>
  <c r="K250" i="1" s="1"/>
  <c r="L17" i="31"/>
  <c r="K17" i="31"/>
  <c r="J17" i="31"/>
  <c r="I17" i="31"/>
  <c r="G250" i="1" s="1"/>
  <c r="H17" i="31"/>
  <c r="G17" i="31"/>
  <c r="F17" i="31"/>
  <c r="E17" i="31"/>
  <c r="G250" i="3" s="1"/>
  <c r="D17" i="31"/>
  <c r="C17" i="31"/>
  <c r="B17" i="31"/>
  <c r="A17" i="31"/>
  <c r="S16" i="31"/>
  <c r="R16" i="31"/>
  <c r="Q16" i="31"/>
  <c r="P16" i="31"/>
  <c r="N249" i="1" s="1"/>
  <c r="O16" i="31"/>
  <c r="N16" i="31"/>
  <c r="M16" i="31"/>
  <c r="L16" i="31"/>
  <c r="J249" i="1" s="1"/>
  <c r="K16" i="31"/>
  <c r="J16" i="31"/>
  <c r="I16" i="31"/>
  <c r="H16" i="31"/>
  <c r="F249" i="1" s="1"/>
  <c r="G16" i="31"/>
  <c r="F16" i="31"/>
  <c r="E16" i="31"/>
  <c r="D16" i="31"/>
  <c r="F249" i="3" s="1"/>
  <c r="C16" i="31"/>
  <c r="B16" i="31"/>
  <c r="A16" i="31"/>
  <c r="S15" i="31"/>
  <c r="Q248" i="1" s="1"/>
  <c r="R15" i="31"/>
  <c r="Q15" i="31"/>
  <c r="P15" i="31"/>
  <c r="O15" i="31"/>
  <c r="M248" i="1" s="1"/>
  <c r="N15" i="31"/>
  <c r="M15" i="31"/>
  <c r="L15" i="31"/>
  <c r="K15" i="31"/>
  <c r="I248" i="1" s="1"/>
  <c r="J15" i="31"/>
  <c r="I15" i="31"/>
  <c r="H15" i="31"/>
  <c r="G15" i="31"/>
  <c r="E248" i="1" s="1"/>
  <c r="F15" i="31"/>
  <c r="E15" i="31"/>
  <c r="D15" i="31"/>
  <c r="C15" i="31"/>
  <c r="E248" i="3" s="1"/>
  <c r="B15" i="31"/>
  <c r="A15" i="31"/>
  <c r="S14" i="31"/>
  <c r="R14" i="31"/>
  <c r="P247" i="1" s="1"/>
  <c r="Q14" i="31"/>
  <c r="P14" i="31"/>
  <c r="O14" i="31"/>
  <c r="N14" i="31"/>
  <c r="L247" i="1" s="1"/>
  <c r="M14" i="31"/>
  <c r="L14" i="31"/>
  <c r="K14" i="31"/>
  <c r="J14" i="31"/>
  <c r="H247" i="1" s="1"/>
  <c r="I14" i="31"/>
  <c r="H14" i="31"/>
  <c r="G14" i="31"/>
  <c r="F14" i="31"/>
  <c r="D247" i="1" s="1"/>
  <c r="E14" i="31"/>
  <c r="D14" i="31"/>
  <c r="C14" i="31"/>
  <c r="B14" i="31"/>
  <c r="D247" i="3" s="1"/>
  <c r="A14" i="31"/>
  <c r="S13" i="31"/>
  <c r="R13" i="31"/>
  <c r="Q13" i="31"/>
  <c r="O246" i="1" s="1"/>
  <c r="P13" i="31"/>
  <c r="O13" i="31"/>
  <c r="N13" i="31"/>
  <c r="M13" i="31"/>
  <c r="K246" i="1" s="1"/>
  <c r="L13" i="31"/>
  <c r="K13" i="31"/>
  <c r="J13" i="31"/>
  <c r="I13" i="31"/>
  <c r="G246" i="1" s="1"/>
  <c r="H13" i="31"/>
  <c r="G13" i="31"/>
  <c r="F13" i="31"/>
  <c r="E13" i="31"/>
  <c r="G246" i="3" s="1"/>
  <c r="D13" i="31"/>
  <c r="C13" i="31"/>
  <c r="B13" i="31"/>
  <c r="A13" i="31"/>
  <c r="S12" i="31"/>
  <c r="R12" i="31"/>
  <c r="Q12" i="31"/>
  <c r="P12" i="31"/>
  <c r="N245" i="1" s="1"/>
  <c r="O12" i="31"/>
  <c r="N12" i="31"/>
  <c r="M12" i="31"/>
  <c r="L12" i="31"/>
  <c r="J245" i="1" s="1"/>
  <c r="K12" i="31"/>
  <c r="J12" i="31"/>
  <c r="I12" i="31"/>
  <c r="H12" i="31"/>
  <c r="F245" i="1" s="1"/>
  <c r="G12" i="31"/>
  <c r="F12" i="31"/>
  <c r="E12" i="31"/>
  <c r="D12" i="31"/>
  <c r="F245" i="3" s="1"/>
  <c r="C12" i="31"/>
  <c r="B12" i="31"/>
  <c r="A12" i="31"/>
  <c r="S11" i="31"/>
  <c r="Q244" i="1" s="1"/>
  <c r="R11" i="31"/>
  <c r="Q11" i="31"/>
  <c r="P11" i="31"/>
  <c r="O11" i="31"/>
  <c r="M244" i="1" s="1"/>
  <c r="N11" i="31"/>
  <c r="M11" i="31"/>
  <c r="L11" i="31"/>
  <c r="K11" i="31"/>
  <c r="I244" i="1" s="1"/>
  <c r="J11" i="31"/>
  <c r="I11" i="31"/>
  <c r="H11" i="31"/>
  <c r="G11" i="31"/>
  <c r="E244" i="1" s="1"/>
  <c r="F11" i="31"/>
  <c r="E11" i="31"/>
  <c r="D11" i="31"/>
  <c r="C11" i="31"/>
  <c r="E244" i="3" s="1"/>
  <c r="B11" i="31"/>
  <c r="A11" i="31"/>
  <c r="S10" i="31"/>
  <c r="R10" i="31"/>
  <c r="P243" i="1" s="1"/>
  <c r="Q10" i="31"/>
  <c r="P10" i="31"/>
  <c r="O10" i="31"/>
  <c r="N10" i="31"/>
  <c r="L243" i="1" s="1"/>
  <c r="M10" i="31"/>
  <c r="L10" i="31"/>
  <c r="K10" i="31"/>
  <c r="J10" i="31"/>
  <c r="H243" i="1" s="1"/>
  <c r="I10" i="31"/>
  <c r="H10" i="31"/>
  <c r="G10" i="31"/>
  <c r="F10" i="31"/>
  <c r="D243" i="1" s="1"/>
  <c r="E10" i="31"/>
  <c r="D10" i="31"/>
  <c r="C10" i="31"/>
  <c r="B10" i="31"/>
  <c r="D243" i="3" s="1"/>
  <c r="A10" i="31"/>
  <c r="S9" i="31"/>
  <c r="R9" i="31"/>
  <c r="Q9" i="31"/>
  <c r="O242" i="1" s="1"/>
  <c r="P9" i="31"/>
  <c r="O9" i="31"/>
  <c r="N9" i="31"/>
  <c r="M9" i="31"/>
  <c r="K242" i="1" s="1"/>
  <c r="L9" i="31"/>
  <c r="K9" i="31"/>
  <c r="J9" i="31"/>
  <c r="I9" i="31"/>
  <c r="G242" i="1" s="1"/>
  <c r="H9" i="31"/>
  <c r="G9" i="31"/>
  <c r="F9" i="31"/>
  <c r="E9" i="31"/>
  <c r="G242" i="3" s="1"/>
  <c r="D9" i="31"/>
  <c r="C9" i="31"/>
  <c r="B9" i="31"/>
  <c r="A9" i="31"/>
  <c r="C242" i="3" s="1"/>
  <c r="S8" i="31"/>
  <c r="R8" i="31"/>
  <c r="Q8" i="31"/>
  <c r="P8" i="31"/>
  <c r="N241" i="1" s="1"/>
  <c r="O8" i="31"/>
  <c r="N8" i="31"/>
  <c r="M8" i="31"/>
  <c r="L8" i="31"/>
  <c r="J241" i="1" s="1"/>
  <c r="K8" i="31"/>
  <c r="J8" i="31"/>
  <c r="I8" i="31"/>
  <c r="H8" i="31"/>
  <c r="F241" i="1" s="1"/>
  <c r="G8" i="31"/>
  <c r="F8" i="31"/>
  <c r="E8" i="31"/>
  <c r="D8" i="31"/>
  <c r="F241" i="3" s="1"/>
  <c r="C8" i="31"/>
  <c r="B8" i="31"/>
  <c r="A8" i="31"/>
  <c r="S7" i="31"/>
  <c r="Q240" i="1" s="1"/>
  <c r="R7" i="31"/>
  <c r="Q7" i="31"/>
  <c r="P7" i="31"/>
  <c r="O7" i="31"/>
  <c r="M240" i="1" s="1"/>
  <c r="N7" i="31"/>
  <c r="M7" i="31"/>
  <c r="L7" i="31"/>
  <c r="K7" i="31"/>
  <c r="I240" i="1" s="1"/>
  <c r="J7" i="31"/>
  <c r="I7" i="31"/>
  <c r="H7" i="31"/>
  <c r="G7" i="31"/>
  <c r="E240" i="1" s="1"/>
  <c r="F7" i="31"/>
  <c r="E7" i="31"/>
  <c r="D7" i="31"/>
  <c r="C7" i="31"/>
  <c r="E240" i="3" s="1"/>
  <c r="B7" i="31"/>
  <c r="A7" i="31"/>
  <c r="S6" i="31"/>
  <c r="R6" i="31"/>
  <c r="P239" i="1" s="1"/>
  <c r="Q6" i="31"/>
  <c r="P6" i="31"/>
  <c r="O6" i="31"/>
  <c r="N6" i="31"/>
  <c r="L239" i="1" s="1"/>
  <c r="M6" i="31"/>
  <c r="L6" i="31"/>
  <c r="K6" i="31"/>
  <c r="J6" i="31"/>
  <c r="H239" i="1" s="1"/>
  <c r="I6" i="31"/>
  <c r="H6" i="31"/>
  <c r="G6" i="31"/>
  <c r="F6" i="31"/>
  <c r="D239" i="1" s="1"/>
  <c r="E6" i="31"/>
  <c r="D6" i="31"/>
  <c r="C6" i="31"/>
  <c r="B6" i="31"/>
  <c r="D239" i="3" s="1"/>
  <c r="A6" i="31"/>
  <c r="S5" i="31"/>
  <c r="R5" i="31"/>
  <c r="Q5" i="31"/>
  <c r="O238" i="1" s="1"/>
  <c r="P5" i="31"/>
  <c r="O5" i="31"/>
  <c r="N5" i="31"/>
  <c r="M5" i="31"/>
  <c r="K238" i="1" s="1"/>
  <c r="L5" i="31"/>
  <c r="K5" i="31"/>
  <c r="J5" i="31"/>
  <c r="I5" i="31"/>
  <c r="G238" i="1" s="1"/>
  <c r="H5" i="31"/>
  <c r="G5" i="31"/>
  <c r="F5" i="31"/>
  <c r="E5" i="31"/>
  <c r="G238" i="3" s="1"/>
  <c r="D5" i="31"/>
  <c r="C5" i="31"/>
  <c r="B5" i="31"/>
  <c r="A5" i="31"/>
  <c r="S4" i="31"/>
  <c r="R4" i="31"/>
  <c r="Q4" i="31"/>
  <c r="P4" i="31"/>
  <c r="N237" i="1" s="1"/>
  <c r="O4" i="31"/>
  <c r="N4" i="31"/>
  <c r="M4" i="31"/>
  <c r="L4" i="31"/>
  <c r="J237" i="1" s="1"/>
  <c r="K4" i="31"/>
  <c r="J4" i="31"/>
  <c r="I4" i="31"/>
  <c r="H4" i="31"/>
  <c r="F237" i="1" s="1"/>
  <c r="G4" i="31"/>
  <c r="F4" i="31"/>
  <c r="E4" i="31"/>
  <c r="D4" i="31"/>
  <c r="F237" i="3" s="1"/>
  <c r="C4" i="31"/>
  <c r="B4" i="31"/>
  <c r="A4" i="31"/>
  <c r="S3" i="31"/>
  <c r="Q236" i="1" s="1"/>
  <c r="R3" i="31"/>
  <c r="Q3" i="31"/>
  <c r="P3" i="31"/>
  <c r="O3" i="31"/>
  <c r="M236" i="1" s="1"/>
  <c r="N3" i="31"/>
  <c r="M3" i="31"/>
  <c r="L3" i="31"/>
  <c r="K3" i="31"/>
  <c r="I236" i="1" s="1"/>
  <c r="J3" i="31"/>
  <c r="I3" i="31"/>
  <c r="H3" i="31"/>
  <c r="G3" i="31"/>
  <c r="E236" i="1" s="1"/>
  <c r="F3" i="31"/>
  <c r="E3" i="31"/>
  <c r="D3" i="31"/>
  <c r="C3" i="31"/>
  <c r="E236" i="3" s="1"/>
  <c r="B3" i="31"/>
  <c r="A3" i="31"/>
  <c r="S2" i="31"/>
  <c r="R2" i="31"/>
  <c r="P235" i="1" s="1"/>
  <c r="Q2" i="31"/>
  <c r="P2" i="31"/>
  <c r="O2" i="31"/>
  <c r="N2" i="31"/>
  <c r="L235" i="1" s="1"/>
  <c r="M2" i="31"/>
  <c r="L2" i="31"/>
  <c r="K2" i="31"/>
  <c r="J2" i="31"/>
  <c r="H235" i="1" s="1"/>
  <c r="I2" i="31"/>
  <c r="H2" i="31"/>
  <c r="G2" i="31"/>
  <c r="F2" i="31"/>
  <c r="D235" i="1" s="1"/>
  <c r="E2" i="31"/>
  <c r="D2" i="31"/>
  <c r="C2" i="31"/>
  <c r="B2" i="31"/>
  <c r="D235" i="3" s="1"/>
  <c r="A2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1" i="31"/>
  <c r="S30" i="30"/>
  <c r="R30" i="30"/>
  <c r="Q30" i="30"/>
  <c r="P30" i="30"/>
  <c r="R234" i="2" s="1"/>
  <c r="O30" i="30"/>
  <c r="N30" i="30"/>
  <c r="M30" i="30"/>
  <c r="L30" i="30"/>
  <c r="N234" i="2" s="1"/>
  <c r="K30" i="30"/>
  <c r="J30" i="30"/>
  <c r="I30" i="30"/>
  <c r="H30" i="30"/>
  <c r="J234" i="2" s="1"/>
  <c r="G30" i="30"/>
  <c r="F30" i="30"/>
  <c r="E30" i="30"/>
  <c r="D30" i="30"/>
  <c r="C30" i="30"/>
  <c r="B30" i="30"/>
  <c r="A30" i="30"/>
  <c r="S29" i="30"/>
  <c r="U233" i="2" s="1"/>
  <c r="R29" i="30"/>
  <c r="Q29" i="30"/>
  <c r="P29" i="30"/>
  <c r="O29" i="30"/>
  <c r="Q233" i="2" s="1"/>
  <c r="N29" i="30"/>
  <c r="M29" i="30"/>
  <c r="L29" i="30"/>
  <c r="K29" i="30"/>
  <c r="M233" i="2" s="1"/>
  <c r="J29" i="30"/>
  <c r="I29" i="30"/>
  <c r="H29" i="30"/>
  <c r="G29" i="30"/>
  <c r="I233" i="2" s="1"/>
  <c r="F29" i="30"/>
  <c r="E29" i="30"/>
  <c r="D29" i="30"/>
  <c r="C29" i="30"/>
  <c r="B29" i="30"/>
  <c r="A29" i="30"/>
  <c r="S28" i="30"/>
  <c r="R28" i="30"/>
  <c r="T232" i="2" s="1"/>
  <c r="Q28" i="30"/>
  <c r="P28" i="30"/>
  <c r="O28" i="30"/>
  <c r="N28" i="30"/>
  <c r="P232" i="2" s="1"/>
  <c r="M28" i="30"/>
  <c r="L28" i="30"/>
  <c r="K28" i="30"/>
  <c r="J28" i="30"/>
  <c r="L232" i="2" s="1"/>
  <c r="I28" i="30"/>
  <c r="H28" i="30"/>
  <c r="G28" i="30"/>
  <c r="F28" i="30"/>
  <c r="H232" i="2" s="1"/>
  <c r="E28" i="30"/>
  <c r="D28" i="30"/>
  <c r="C28" i="30"/>
  <c r="B28" i="30"/>
  <c r="A28" i="30"/>
  <c r="S27" i="30"/>
  <c r="R27" i="30"/>
  <c r="Q27" i="30"/>
  <c r="S231" i="2" s="1"/>
  <c r="P27" i="30"/>
  <c r="O27" i="30"/>
  <c r="N27" i="30"/>
  <c r="M27" i="30"/>
  <c r="O231" i="2" s="1"/>
  <c r="L27" i="30"/>
  <c r="K27" i="30"/>
  <c r="J27" i="30"/>
  <c r="I27" i="30"/>
  <c r="K231" i="2" s="1"/>
  <c r="H27" i="30"/>
  <c r="G27" i="30"/>
  <c r="F27" i="30"/>
  <c r="E27" i="30"/>
  <c r="D27" i="30"/>
  <c r="C27" i="30"/>
  <c r="B27" i="30"/>
  <c r="A27" i="30"/>
  <c r="S26" i="30"/>
  <c r="R26" i="30"/>
  <c r="Q26" i="30"/>
  <c r="P26" i="30"/>
  <c r="R230" i="2" s="1"/>
  <c r="O26" i="30"/>
  <c r="N26" i="30"/>
  <c r="M26" i="30"/>
  <c r="L26" i="30"/>
  <c r="N230" i="2" s="1"/>
  <c r="K26" i="30"/>
  <c r="J26" i="30"/>
  <c r="I26" i="30"/>
  <c r="H26" i="30"/>
  <c r="J230" i="2" s="1"/>
  <c r="G26" i="30"/>
  <c r="F26" i="30"/>
  <c r="E26" i="30"/>
  <c r="D26" i="30"/>
  <c r="C26" i="30"/>
  <c r="B26" i="30"/>
  <c r="A26" i="30"/>
  <c r="S25" i="30"/>
  <c r="U229" i="2" s="1"/>
  <c r="R25" i="30"/>
  <c r="Q25" i="30"/>
  <c r="P25" i="30"/>
  <c r="O25" i="30"/>
  <c r="Q229" i="2" s="1"/>
  <c r="N25" i="30"/>
  <c r="M25" i="30"/>
  <c r="L25" i="30"/>
  <c r="K25" i="30"/>
  <c r="M229" i="2" s="1"/>
  <c r="J25" i="30"/>
  <c r="I25" i="30"/>
  <c r="H25" i="30"/>
  <c r="G25" i="30"/>
  <c r="I229" i="2" s="1"/>
  <c r="F25" i="30"/>
  <c r="E25" i="30"/>
  <c r="D25" i="30"/>
  <c r="C25" i="30"/>
  <c r="B25" i="30"/>
  <c r="A25" i="30"/>
  <c r="S24" i="30"/>
  <c r="R24" i="30"/>
  <c r="T228" i="2" s="1"/>
  <c r="Q24" i="30"/>
  <c r="P24" i="30"/>
  <c r="O24" i="30"/>
  <c r="N24" i="30"/>
  <c r="P228" i="2" s="1"/>
  <c r="M24" i="30"/>
  <c r="L24" i="30"/>
  <c r="K24" i="30"/>
  <c r="J24" i="30"/>
  <c r="L228" i="2" s="1"/>
  <c r="I24" i="30"/>
  <c r="H24" i="30"/>
  <c r="G24" i="30"/>
  <c r="F24" i="30"/>
  <c r="H228" i="2" s="1"/>
  <c r="E24" i="30"/>
  <c r="D24" i="30"/>
  <c r="C24" i="30"/>
  <c r="B24" i="30"/>
  <c r="A24" i="30"/>
  <c r="S23" i="30"/>
  <c r="R23" i="30"/>
  <c r="Q23" i="30"/>
  <c r="S227" i="2" s="1"/>
  <c r="P23" i="30"/>
  <c r="O23" i="30"/>
  <c r="N23" i="30"/>
  <c r="M23" i="30"/>
  <c r="O227" i="2" s="1"/>
  <c r="L23" i="30"/>
  <c r="K23" i="30"/>
  <c r="J23" i="30"/>
  <c r="I23" i="30"/>
  <c r="K227" i="2" s="1"/>
  <c r="H23" i="30"/>
  <c r="G23" i="30"/>
  <c r="F23" i="30"/>
  <c r="E23" i="30"/>
  <c r="D23" i="30"/>
  <c r="C23" i="30"/>
  <c r="B23" i="30"/>
  <c r="A23" i="30"/>
  <c r="S22" i="30"/>
  <c r="R22" i="30"/>
  <c r="Q22" i="30"/>
  <c r="P22" i="30"/>
  <c r="R226" i="2" s="1"/>
  <c r="O22" i="30"/>
  <c r="N22" i="30"/>
  <c r="M22" i="30"/>
  <c r="L22" i="30"/>
  <c r="N226" i="2" s="1"/>
  <c r="K22" i="30"/>
  <c r="J22" i="30"/>
  <c r="I22" i="30"/>
  <c r="H22" i="30"/>
  <c r="J226" i="2" s="1"/>
  <c r="G22" i="30"/>
  <c r="F22" i="30"/>
  <c r="E22" i="30"/>
  <c r="D22" i="30"/>
  <c r="C22" i="30"/>
  <c r="B22" i="30"/>
  <c r="A22" i="30"/>
  <c r="S21" i="30"/>
  <c r="U225" i="2" s="1"/>
  <c r="R21" i="30"/>
  <c r="Q21" i="30"/>
  <c r="P21" i="30"/>
  <c r="O21" i="30"/>
  <c r="Q225" i="2" s="1"/>
  <c r="N21" i="30"/>
  <c r="M21" i="30"/>
  <c r="L21" i="30"/>
  <c r="K21" i="30"/>
  <c r="M225" i="2" s="1"/>
  <c r="J21" i="30"/>
  <c r="I21" i="30"/>
  <c r="H21" i="30"/>
  <c r="G21" i="30"/>
  <c r="I225" i="2" s="1"/>
  <c r="F21" i="30"/>
  <c r="E21" i="30"/>
  <c r="D21" i="30"/>
  <c r="C21" i="30"/>
  <c r="B21" i="30"/>
  <c r="A21" i="30"/>
  <c r="S20" i="30"/>
  <c r="R20" i="30"/>
  <c r="T224" i="2" s="1"/>
  <c r="Q20" i="30"/>
  <c r="P20" i="30"/>
  <c r="O20" i="30"/>
  <c r="N20" i="30"/>
  <c r="P224" i="2" s="1"/>
  <c r="M20" i="30"/>
  <c r="L20" i="30"/>
  <c r="K20" i="30"/>
  <c r="J20" i="30"/>
  <c r="L224" i="2" s="1"/>
  <c r="I20" i="30"/>
  <c r="H20" i="30"/>
  <c r="G20" i="30"/>
  <c r="F20" i="30"/>
  <c r="H224" i="2" s="1"/>
  <c r="E20" i="30"/>
  <c r="D20" i="30"/>
  <c r="C20" i="30"/>
  <c r="B20" i="30"/>
  <c r="A20" i="30"/>
  <c r="S19" i="30"/>
  <c r="R19" i="30"/>
  <c r="Q19" i="30"/>
  <c r="S223" i="2" s="1"/>
  <c r="P19" i="30"/>
  <c r="O19" i="30"/>
  <c r="N19" i="30"/>
  <c r="M19" i="30"/>
  <c r="O223" i="2" s="1"/>
  <c r="L19" i="30"/>
  <c r="K19" i="30"/>
  <c r="J19" i="30"/>
  <c r="I19" i="30"/>
  <c r="K223" i="2" s="1"/>
  <c r="H19" i="30"/>
  <c r="G19" i="30"/>
  <c r="F19" i="30"/>
  <c r="E19" i="30"/>
  <c r="D19" i="30"/>
  <c r="C19" i="30"/>
  <c r="B19" i="30"/>
  <c r="A19" i="30"/>
  <c r="S18" i="30"/>
  <c r="R18" i="30"/>
  <c r="Q18" i="30"/>
  <c r="P18" i="30"/>
  <c r="R222" i="2" s="1"/>
  <c r="O18" i="30"/>
  <c r="N18" i="30"/>
  <c r="M18" i="30"/>
  <c r="L18" i="30"/>
  <c r="N222" i="2" s="1"/>
  <c r="K18" i="30"/>
  <c r="J18" i="30"/>
  <c r="I18" i="30"/>
  <c r="H18" i="30"/>
  <c r="J222" i="2" s="1"/>
  <c r="G18" i="30"/>
  <c r="F18" i="30"/>
  <c r="E18" i="30"/>
  <c r="D18" i="30"/>
  <c r="C18" i="30"/>
  <c r="B18" i="30"/>
  <c r="A18" i="30"/>
  <c r="S17" i="30"/>
  <c r="U221" i="2" s="1"/>
  <c r="R17" i="30"/>
  <c r="Q17" i="30"/>
  <c r="P17" i="30"/>
  <c r="O17" i="30"/>
  <c r="Q221" i="2" s="1"/>
  <c r="N17" i="30"/>
  <c r="M17" i="30"/>
  <c r="L17" i="30"/>
  <c r="K17" i="30"/>
  <c r="M221" i="2" s="1"/>
  <c r="J17" i="30"/>
  <c r="I17" i="30"/>
  <c r="H17" i="30"/>
  <c r="G17" i="30"/>
  <c r="I221" i="2" s="1"/>
  <c r="F17" i="30"/>
  <c r="E17" i="30"/>
  <c r="D17" i="30"/>
  <c r="C17" i="30"/>
  <c r="B17" i="30"/>
  <c r="A17" i="30"/>
  <c r="S16" i="30"/>
  <c r="R16" i="30"/>
  <c r="T220" i="2" s="1"/>
  <c r="Q16" i="30"/>
  <c r="P16" i="30"/>
  <c r="O16" i="30"/>
  <c r="N16" i="30"/>
  <c r="P220" i="2" s="1"/>
  <c r="M16" i="30"/>
  <c r="L16" i="30"/>
  <c r="K16" i="30"/>
  <c r="J16" i="30"/>
  <c r="L220" i="2" s="1"/>
  <c r="I16" i="30"/>
  <c r="H16" i="30"/>
  <c r="G16" i="30"/>
  <c r="F16" i="30"/>
  <c r="H220" i="2" s="1"/>
  <c r="E16" i="30"/>
  <c r="D16" i="30"/>
  <c r="C16" i="30"/>
  <c r="B16" i="30"/>
  <c r="A16" i="30"/>
  <c r="S15" i="30"/>
  <c r="R15" i="30"/>
  <c r="Q15" i="30"/>
  <c r="S219" i="2" s="1"/>
  <c r="P15" i="30"/>
  <c r="O15" i="30"/>
  <c r="N15" i="30"/>
  <c r="M15" i="30"/>
  <c r="O219" i="2" s="1"/>
  <c r="L15" i="30"/>
  <c r="K15" i="30"/>
  <c r="J15" i="30"/>
  <c r="I15" i="30"/>
  <c r="K219" i="2" s="1"/>
  <c r="H15" i="30"/>
  <c r="G15" i="30"/>
  <c r="F15" i="30"/>
  <c r="E15" i="30"/>
  <c r="D15" i="30"/>
  <c r="C15" i="30"/>
  <c r="B15" i="30"/>
  <c r="A15" i="30"/>
  <c r="S14" i="30"/>
  <c r="R14" i="30"/>
  <c r="Q14" i="30"/>
  <c r="P14" i="30"/>
  <c r="R218" i="2" s="1"/>
  <c r="O14" i="30"/>
  <c r="N14" i="30"/>
  <c r="M14" i="30"/>
  <c r="L14" i="30"/>
  <c r="N218" i="2" s="1"/>
  <c r="K14" i="30"/>
  <c r="J14" i="30"/>
  <c r="I14" i="30"/>
  <c r="H14" i="30"/>
  <c r="J218" i="2" s="1"/>
  <c r="G14" i="30"/>
  <c r="F14" i="30"/>
  <c r="E14" i="30"/>
  <c r="D14" i="30"/>
  <c r="C14" i="30"/>
  <c r="B14" i="30"/>
  <c r="A14" i="30"/>
  <c r="S13" i="30"/>
  <c r="U217" i="2" s="1"/>
  <c r="R13" i="30"/>
  <c r="Q13" i="30"/>
  <c r="P13" i="30"/>
  <c r="O13" i="30"/>
  <c r="Q217" i="2" s="1"/>
  <c r="N13" i="30"/>
  <c r="M13" i="30"/>
  <c r="L13" i="30"/>
  <c r="K13" i="30"/>
  <c r="M217" i="2" s="1"/>
  <c r="J13" i="30"/>
  <c r="I13" i="30"/>
  <c r="H13" i="30"/>
  <c r="G13" i="30"/>
  <c r="I217" i="2" s="1"/>
  <c r="F13" i="30"/>
  <c r="E13" i="30"/>
  <c r="D13" i="30"/>
  <c r="C13" i="30"/>
  <c r="B13" i="30"/>
  <c r="A13" i="30"/>
  <c r="S12" i="30"/>
  <c r="R12" i="30"/>
  <c r="T216" i="2" s="1"/>
  <c r="Q12" i="30"/>
  <c r="P12" i="30"/>
  <c r="O12" i="30"/>
  <c r="N12" i="30"/>
  <c r="P216" i="2" s="1"/>
  <c r="M12" i="30"/>
  <c r="L12" i="30"/>
  <c r="K12" i="30"/>
  <c r="J12" i="30"/>
  <c r="L216" i="2" s="1"/>
  <c r="I12" i="30"/>
  <c r="H12" i="30"/>
  <c r="G12" i="30"/>
  <c r="F12" i="30"/>
  <c r="H216" i="2" s="1"/>
  <c r="E12" i="30"/>
  <c r="D12" i="30"/>
  <c r="C12" i="30"/>
  <c r="B12" i="30"/>
  <c r="A12" i="30"/>
  <c r="S11" i="30"/>
  <c r="R11" i="30"/>
  <c r="Q11" i="30"/>
  <c r="S215" i="2" s="1"/>
  <c r="P11" i="30"/>
  <c r="O11" i="30"/>
  <c r="N11" i="30"/>
  <c r="M11" i="30"/>
  <c r="O215" i="2" s="1"/>
  <c r="L11" i="30"/>
  <c r="K11" i="30"/>
  <c r="J11" i="30"/>
  <c r="I11" i="30"/>
  <c r="K215" i="2" s="1"/>
  <c r="H11" i="30"/>
  <c r="G11" i="30"/>
  <c r="F11" i="30"/>
  <c r="E11" i="30"/>
  <c r="D11" i="30"/>
  <c r="C11" i="30"/>
  <c r="B11" i="30"/>
  <c r="A11" i="30"/>
  <c r="S10" i="30"/>
  <c r="R10" i="30"/>
  <c r="Q10" i="30"/>
  <c r="P10" i="30"/>
  <c r="R214" i="2" s="1"/>
  <c r="O10" i="30"/>
  <c r="N10" i="30"/>
  <c r="M10" i="30"/>
  <c r="L10" i="30"/>
  <c r="N214" i="2" s="1"/>
  <c r="K10" i="30"/>
  <c r="J10" i="30"/>
  <c r="I10" i="30"/>
  <c r="H10" i="30"/>
  <c r="J214" i="2" s="1"/>
  <c r="G10" i="30"/>
  <c r="F10" i="30"/>
  <c r="E10" i="30"/>
  <c r="D10" i="30"/>
  <c r="C10" i="30"/>
  <c r="B10" i="30"/>
  <c r="A10" i="30"/>
  <c r="S9" i="30"/>
  <c r="U213" i="2" s="1"/>
  <c r="R9" i="30"/>
  <c r="Q9" i="30"/>
  <c r="P9" i="30"/>
  <c r="O9" i="30"/>
  <c r="Q213" i="2" s="1"/>
  <c r="N9" i="30"/>
  <c r="M9" i="30"/>
  <c r="L9" i="30"/>
  <c r="K9" i="30"/>
  <c r="M213" i="2" s="1"/>
  <c r="J9" i="30"/>
  <c r="I9" i="30"/>
  <c r="H9" i="30"/>
  <c r="G9" i="30"/>
  <c r="I213" i="2" s="1"/>
  <c r="F9" i="30"/>
  <c r="E9" i="30"/>
  <c r="D9" i="30"/>
  <c r="C9" i="30"/>
  <c r="B9" i="30"/>
  <c r="A9" i="30"/>
  <c r="S8" i="30"/>
  <c r="R8" i="30"/>
  <c r="T212" i="2" s="1"/>
  <c r="Q8" i="30"/>
  <c r="P8" i="30"/>
  <c r="O8" i="30"/>
  <c r="N8" i="30"/>
  <c r="P212" i="2" s="1"/>
  <c r="M8" i="30"/>
  <c r="L8" i="30"/>
  <c r="K8" i="30"/>
  <c r="J8" i="30"/>
  <c r="L212" i="2" s="1"/>
  <c r="I8" i="30"/>
  <c r="H8" i="30"/>
  <c r="G8" i="30"/>
  <c r="F8" i="30"/>
  <c r="H212" i="2" s="1"/>
  <c r="E8" i="30"/>
  <c r="D8" i="30"/>
  <c r="C8" i="30"/>
  <c r="B8" i="30"/>
  <c r="A8" i="30"/>
  <c r="S7" i="30"/>
  <c r="R7" i="30"/>
  <c r="Q7" i="30"/>
  <c r="S211" i="2" s="1"/>
  <c r="P7" i="30"/>
  <c r="O7" i="30"/>
  <c r="N7" i="30"/>
  <c r="M7" i="30"/>
  <c r="O211" i="2" s="1"/>
  <c r="L7" i="30"/>
  <c r="K7" i="30"/>
  <c r="J7" i="30"/>
  <c r="I7" i="30"/>
  <c r="K211" i="2" s="1"/>
  <c r="H7" i="30"/>
  <c r="G7" i="30"/>
  <c r="F7" i="30"/>
  <c r="E7" i="30"/>
  <c r="D7" i="30"/>
  <c r="C7" i="30"/>
  <c r="B7" i="30"/>
  <c r="A7" i="30"/>
  <c r="S6" i="30"/>
  <c r="R6" i="30"/>
  <c r="Q6" i="30"/>
  <c r="P6" i="30"/>
  <c r="R210" i="2" s="1"/>
  <c r="O6" i="30"/>
  <c r="N6" i="30"/>
  <c r="M6" i="30"/>
  <c r="L6" i="30"/>
  <c r="N210" i="2" s="1"/>
  <c r="K6" i="30"/>
  <c r="J6" i="30"/>
  <c r="I6" i="30"/>
  <c r="H6" i="30"/>
  <c r="J210" i="2" s="1"/>
  <c r="G6" i="30"/>
  <c r="F6" i="30"/>
  <c r="E6" i="30"/>
  <c r="D6" i="30"/>
  <c r="C6" i="30"/>
  <c r="B6" i="30"/>
  <c r="A6" i="30"/>
  <c r="S5" i="30"/>
  <c r="U209" i="2" s="1"/>
  <c r="R5" i="30"/>
  <c r="Q5" i="30"/>
  <c r="P5" i="30"/>
  <c r="O5" i="30"/>
  <c r="Q209" i="2" s="1"/>
  <c r="N5" i="30"/>
  <c r="M5" i="30"/>
  <c r="L5" i="30"/>
  <c r="K5" i="30"/>
  <c r="M209" i="2" s="1"/>
  <c r="J5" i="30"/>
  <c r="I5" i="30"/>
  <c r="H5" i="30"/>
  <c r="G5" i="30"/>
  <c r="I209" i="2" s="1"/>
  <c r="F5" i="30"/>
  <c r="E5" i="30"/>
  <c r="D5" i="30"/>
  <c r="C5" i="30"/>
  <c r="B5" i="30"/>
  <c r="A5" i="30"/>
  <c r="S4" i="30"/>
  <c r="R4" i="30"/>
  <c r="T208" i="2" s="1"/>
  <c r="Q4" i="30"/>
  <c r="P4" i="30"/>
  <c r="O4" i="30"/>
  <c r="N4" i="30"/>
  <c r="P208" i="2" s="1"/>
  <c r="M4" i="30"/>
  <c r="L4" i="30"/>
  <c r="K4" i="30"/>
  <c r="J4" i="30"/>
  <c r="L208" i="2" s="1"/>
  <c r="I4" i="30"/>
  <c r="H4" i="30"/>
  <c r="G4" i="30"/>
  <c r="F4" i="30"/>
  <c r="H208" i="2" s="1"/>
  <c r="E4" i="30"/>
  <c r="D4" i="30"/>
  <c r="C4" i="30"/>
  <c r="B4" i="30"/>
  <c r="A4" i="30"/>
  <c r="S3" i="30"/>
  <c r="R3" i="30"/>
  <c r="Q3" i="30"/>
  <c r="S207" i="2" s="1"/>
  <c r="P3" i="30"/>
  <c r="O3" i="30"/>
  <c r="N3" i="30"/>
  <c r="M3" i="30"/>
  <c r="O207" i="2" s="1"/>
  <c r="L3" i="30"/>
  <c r="K3" i="30"/>
  <c r="J3" i="30"/>
  <c r="I3" i="30"/>
  <c r="K207" i="2" s="1"/>
  <c r="H3" i="30"/>
  <c r="G3" i="30"/>
  <c r="F3" i="30"/>
  <c r="E3" i="30"/>
  <c r="D3" i="30"/>
  <c r="C3" i="30"/>
  <c r="B3" i="30"/>
  <c r="A3" i="30"/>
  <c r="S2" i="30"/>
  <c r="R2" i="30"/>
  <c r="Q2" i="30"/>
  <c r="P2" i="30"/>
  <c r="R206" i="2" s="1"/>
  <c r="O2" i="30"/>
  <c r="N2" i="30"/>
  <c r="M2" i="30"/>
  <c r="L2" i="30"/>
  <c r="N206" i="2" s="1"/>
  <c r="K2" i="30"/>
  <c r="J2" i="30"/>
  <c r="I2" i="30"/>
  <c r="H2" i="30"/>
  <c r="J206" i="2" s="1"/>
  <c r="G2" i="30"/>
  <c r="F2" i="30"/>
  <c r="E2" i="30"/>
  <c r="D2" i="30"/>
  <c r="C2" i="30"/>
  <c r="B2" i="30"/>
  <c r="A2" i="30"/>
  <c r="S1" i="30"/>
  <c r="R1" i="30"/>
  <c r="Q1" i="30"/>
  <c r="P1" i="30"/>
  <c r="O1" i="30"/>
  <c r="N1" i="30"/>
  <c r="M1" i="30"/>
  <c r="L1" i="30"/>
  <c r="K1" i="30"/>
  <c r="J1" i="30"/>
  <c r="I1" i="30"/>
  <c r="H1" i="30"/>
  <c r="G1" i="30"/>
  <c r="F1" i="30"/>
  <c r="E1" i="30"/>
  <c r="D1" i="30"/>
  <c r="C1" i="30"/>
  <c r="B1" i="30"/>
  <c r="A1" i="30"/>
  <c r="S30" i="29"/>
  <c r="R30" i="29"/>
  <c r="P234" i="1" s="1"/>
  <c r="Q30" i="29"/>
  <c r="P30" i="29"/>
  <c r="O30" i="29"/>
  <c r="N30" i="29"/>
  <c r="L234" i="1" s="1"/>
  <c r="M30" i="29"/>
  <c r="L30" i="29"/>
  <c r="K30" i="29"/>
  <c r="J30" i="29"/>
  <c r="H234" i="1" s="1"/>
  <c r="I30" i="29"/>
  <c r="H30" i="29"/>
  <c r="G30" i="29"/>
  <c r="F30" i="29"/>
  <c r="D234" i="1" s="1"/>
  <c r="E30" i="29"/>
  <c r="D30" i="29"/>
  <c r="C30" i="29"/>
  <c r="B30" i="29"/>
  <c r="D234" i="3" s="1"/>
  <c r="A30" i="29"/>
  <c r="S29" i="29"/>
  <c r="R29" i="29"/>
  <c r="Q29" i="29"/>
  <c r="O233" i="1" s="1"/>
  <c r="P29" i="29"/>
  <c r="O29" i="29"/>
  <c r="N29" i="29"/>
  <c r="M29" i="29"/>
  <c r="K233" i="1" s="1"/>
  <c r="L29" i="29"/>
  <c r="K29" i="29"/>
  <c r="J29" i="29"/>
  <c r="I29" i="29"/>
  <c r="G233" i="1" s="1"/>
  <c r="H29" i="29"/>
  <c r="G29" i="29"/>
  <c r="F29" i="29"/>
  <c r="E29" i="29"/>
  <c r="D29" i="29"/>
  <c r="C29" i="29"/>
  <c r="B29" i="29"/>
  <c r="A29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A28" i="29"/>
  <c r="S27" i="29"/>
  <c r="Q231" i="1" s="1"/>
  <c r="R27" i="29"/>
  <c r="Q27" i="29"/>
  <c r="P27" i="29"/>
  <c r="O27" i="29"/>
  <c r="M231" i="1" s="1"/>
  <c r="N27" i="29"/>
  <c r="M27" i="29"/>
  <c r="L27" i="29"/>
  <c r="K27" i="29"/>
  <c r="I231" i="1" s="1"/>
  <c r="J27" i="29"/>
  <c r="I27" i="29"/>
  <c r="H27" i="29"/>
  <c r="G27" i="29"/>
  <c r="E231" i="1" s="1"/>
  <c r="F27" i="29"/>
  <c r="E27" i="29"/>
  <c r="D27" i="29"/>
  <c r="C27" i="29"/>
  <c r="B27" i="29"/>
  <c r="A27" i="29"/>
  <c r="S26" i="29"/>
  <c r="R26" i="29"/>
  <c r="P230" i="1" s="1"/>
  <c r="Q26" i="29"/>
  <c r="P26" i="29"/>
  <c r="O26" i="29"/>
  <c r="N26" i="29"/>
  <c r="L230" i="1" s="1"/>
  <c r="M26" i="29"/>
  <c r="L26" i="29"/>
  <c r="K26" i="29"/>
  <c r="J26" i="29"/>
  <c r="H230" i="1" s="1"/>
  <c r="I26" i="29"/>
  <c r="H26" i="29"/>
  <c r="G26" i="29"/>
  <c r="F26" i="29"/>
  <c r="D230" i="1" s="1"/>
  <c r="E26" i="29"/>
  <c r="D26" i="29"/>
  <c r="C26" i="29"/>
  <c r="B26" i="29"/>
  <c r="D230" i="3" s="1"/>
  <c r="A26" i="29"/>
  <c r="S25" i="29"/>
  <c r="R25" i="29"/>
  <c r="Q25" i="29"/>
  <c r="O229" i="1" s="1"/>
  <c r="P25" i="29"/>
  <c r="O25" i="29"/>
  <c r="N25" i="29"/>
  <c r="M25" i="29"/>
  <c r="K229" i="1" s="1"/>
  <c r="L25" i="29"/>
  <c r="K25" i="29"/>
  <c r="J25" i="29"/>
  <c r="I25" i="29"/>
  <c r="G229" i="1" s="1"/>
  <c r="H25" i="29"/>
  <c r="G25" i="29"/>
  <c r="F25" i="29"/>
  <c r="E25" i="29"/>
  <c r="D25" i="29"/>
  <c r="C25" i="29"/>
  <c r="B25" i="29"/>
  <c r="A25" i="29"/>
  <c r="S24" i="29"/>
  <c r="R24" i="29"/>
  <c r="Q24" i="29"/>
  <c r="P24" i="29"/>
  <c r="N228" i="1" s="1"/>
  <c r="O24" i="29"/>
  <c r="N24" i="29"/>
  <c r="M24" i="29"/>
  <c r="L24" i="29"/>
  <c r="J228" i="1" s="1"/>
  <c r="K24" i="29"/>
  <c r="J24" i="29"/>
  <c r="I24" i="29"/>
  <c r="H24" i="29"/>
  <c r="F228" i="1" s="1"/>
  <c r="G24" i="29"/>
  <c r="F24" i="29"/>
  <c r="E24" i="29"/>
  <c r="D24" i="29"/>
  <c r="C24" i="29"/>
  <c r="B24" i="29"/>
  <c r="A24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A23" i="29"/>
  <c r="S22" i="29"/>
  <c r="R22" i="29"/>
  <c r="P226" i="1" s="1"/>
  <c r="Q22" i="29"/>
  <c r="P22" i="29"/>
  <c r="O22" i="29"/>
  <c r="N22" i="29"/>
  <c r="L226" i="1" s="1"/>
  <c r="M22" i="29"/>
  <c r="L22" i="29"/>
  <c r="K22" i="29"/>
  <c r="J22" i="29"/>
  <c r="H226" i="1" s="1"/>
  <c r="I22" i="29"/>
  <c r="H22" i="29"/>
  <c r="G22" i="29"/>
  <c r="F22" i="29"/>
  <c r="D226" i="1" s="1"/>
  <c r="E22" i="29"/>
  <c r="D22" i="29"/>
  <c r="C22" i="29"/>
  <c r="B22" i="29"/>
  <c r="D226" i="3" s="1"/>
  <c r="A22" i="29"/>
  <c r="S21" i="29"/>
  <c r="R21" i="29"/>
  <c r="Q21" i="29"/>
  <c r="O225" i="1" s="1"/>
  <c r="P21" i="29"/>
  <c r="O21" i="29"/>
  <c r="N21" i="29"/>
  <c r="M21" i="29"/>
  <c r="K225" i="1" s="1"/>
  <c r="L21" i="29"/>
  <c r="K21" i="29"/>
  <c r="J21" i="29"/>
  <c r="I21" i="29"/>
  <c r="G225" i="1" s="1"/>
  <c r="H21" i="29"/>
  <c r="G21" i="29"/>
  <c r="F21" i="29"/>
  <c r="E21" i="29"/>
  <c r="D21" i="29"/>
  <c r="C21" i="29"/>
  <c r="B21" i="29"/>
  <c r="A21" i="29"/>
  <c r="S20" i="29"/>
  <c r="R20" i="29"/>
  <c r="Q20" i="29"/>
  <c r="P20" i="29"/>
  <c r="N224" i="1" s="1"/>
  <c r="O20" i="29"/>
  <c r="N20" i="29"/>
  <c r="M20" i="29"/>
  <c r="L20" i="29"/>
  <c r="J224" i="1" s="1"/>
  <c r="K20" i="29"/>
  <c r="J20" i="29"/>
  <c r="I20" i="29"/>
  <c r="H20" i="29"/>
  <c r="F224" i="1" s="1"/>
  <c r="G20" i="29"/>
  <c r="F20" i="29"/>
  <c r="E20" i="29"/>
  <c r="D20" i="29"/>
  <c r="C20" i="29"/>
  <c r="B20" i="29"/>
  <c r="A20" i="29"/>
  <c r="S19" i="29"/>
  <c r="Q223" i="1" s="1"/>
  <c r="R19" i="29"/>
  <c r="Q19" i="29"/>
  <c r="P19" i="29"/>
  <c r="O19" i="29"/>
  <c r="M223" i="1" s="1"/>
  <c r="N19" i="29"/>
  <c r="M19" i="29"/>
  <c r="L19" i="29"/>
  <c r="K19" i="29"/>
  <c r="I223" i="1" s="1"/>
  <c r="J19" i="29"/>
  <c r="I19" i="29"/>
  <c r="H19" i="29"/>
  <c r="G19" i="29"/>
  <c r="E223" i="1" s="1"/>
  <c r="F19" i="29"/>
  <c r="E19" i="29"/>
  <c r="D19" i="29"/>
  <c r="C19" i="29"/>
  <c r="B19" i="29"/>
  <c r="A19" i="29"/>
  <c r="S18" i="29"/>
  <c r="R18" i="29"/>
  <c r="P222" i="1" s="1"/>
  <c r="Q18" i="29"/>
  <c r="P18" i="29"/>
  <c r="O18" i="29"/>
  <c r="N18" i="29"/>
  <c r="L222" i="1" s="1"/>
  <c r="M18" i="29"/>
  <c r="L18" i="29"/>
  <c r="K18" i="29"/>
  <c r="J18" i="29"/>
  <c r="H222" i="1" s="1"/>
  <c r="I18" i="29"/>
  <c r="H18" i="29"/>
  <c r="G18" i="29"/>
  <c r="F18" i="29"/>
  <c r="D222" i="1" s="1"/>
  <c r="E18" i="29"/>
  <c r="D18" i="29"/>
  <c r="C18" i="29"/>
  <c r="B18" i="29"/>
  <c r="D222" i="3" s="1"/>
  <c r="A18" i="29"/>
  <c r="S17" i="29"/>
  <c r="R17" i="29"/>
  <c r="Q17" i="29"/>
  <c r="O221" i="1" s="1"/>
  <c r="P17" i="29"/>
  <c r="O17" i="29"/>
  <c r="N17" i="29"/>
  <c r="M17" i="29"/>
  <c r="K221" i="1" s="1"/>
  <c r="L17" i="29"/>
  <c r="K17" i="29"/>
  <c r="J17" i="29"/>
  <c r="I17" i="29"/>
  <c r="G221" i="1" s="1"/>
  <c r="H17" i="29"/>
  <c r="G17" i="29"/>
  <c r="F17" i="29"/>
  <c r="E17" i="29"/>
  <c r="D17" i="29"/>
  <c r="C17" i="29"/>
  <c r="B17" i="29"/>
  <c r="A17" i="29"/>
  <c r="S16" i="29"/>
  <c r="R16" i="29"/>
  <c r="Q16" i="29"/>
  <c r="P16" i="29"/>
  <c r="N220" i="1" s="1"/>
  <c r="O16" i="29"/>
  <c r="N16" i="29"/>
  <c r="M16" i="29"/>
  <c r="L16" i="29"/>
  <c r="J220" i="1" s="1"/>
  <c r="K16" i="29"/>
  <c r="J16" i="29"/>
  <c r="I16" i="29"/>
  <c r="H16" i="29"/>
  <c r="F220" i="1" s="1"/>
  <c r="G16" i="29"/>
  <c r="F16" i="29"/>
  <c r="E16" i="29"/>
  <c r="D16" i="29"/>
  <c r="C16" i="29"/>
  <c r="B16" i="29"/>
  <c r="A16" i="29"/>
  <c r="S15" i="29"/>
  <c r="Q219" i="1" s="1"/>
  <c r="R15" i="29"/>
  <c r="Q15" i="29"/>
  <c r="P15" i="29"/>
  <c r="O15" i="29"/>
  <c r="M219" i="1" s="1"/>
  <c r="N15" i="29"/>
  <c r="M15" i="29"/>
  <c r="L15" i="29"/>
  <c r="K15" i="29"/>
  <c r="I219" i="1" s="1"/>
  <c r="J15" i="29"/>
  <c r="I15" i="29"/>
  <c r="H15" i="29"/>
  <c r="G15" i="29"/>
  <c r="E219" i="1" s="1"/>
  <c r="F15" i="29"/>
  <c r="E15" i="29"/>
  <c r="D15" i="29"/>
  <c r="C15" i="29"/>
  <c r="B15" i="29"/>
  <c r="A15" i="29"/>
  <c r="S14" i="29"/>
  <c r="R14" i="29"/>
  <c r="P218" i="1" s="1"/>
  <c r="Q14" i="29"/>
  <c r="P14" i="29"/>
  <c r="O14" i="29"/>
  <c r="N14" i="29"/>
  <c r="L218" i="1" s="1"/>
  <c r="M14" i="29"/>
  <c r="L14" i="29"/>
  <c r="K14" i="29"/>
  <c r="J14" i="29"/>
  <c r="H218" i="1" s="1"/>
  <c r="I14" i="29"/>
  <c r="H14" i="29"/>
  <c r="G14" i="29"/>
  <c r="F14" i="29"/>
  <c r="D218" i="1" s="1"/>
  <c r="E14" i="29"/>
  <c r="D14" i="29"/>
  <c r="C14" i="29"/>
  <c r="B14" i="29"/>
  <c r="D218" i="3" s="1"/>
  <c r="A14" i="29"/>
  <c r="S13" i="29"/>
  <c r="R13" i="29"/>
  <c r="Q13" i="29"/>
  <c r="O217" i="1" s="1"/>
  <c r="P13" i="29"/>
  <c r="O13" i="29"/>
  <c r="N13" i="29"/>
  <c r="M13" i="29"/>
  <c r="K217" i="1" s="1"/>
  <c r="L13" i="29"/>
  <c r="K13" i="29"/>
  <c r="J13" i="29"/>
  <c r="I13" i="29"/>
  <c r="G217" i="1" s="1"/>
  <c r="H13" i="29"/>
  <c r="G13" i="29"/>
  <c r="F13" i="29"/>
  <c r="E13" i="29"/>
  <c r="D13" i="29"/>
  <c r="C13" i="29"/>
  <c r="B13" i="29"/>
  <c r="A13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A12" i="29"/>
  <c r="S11" i="29"/>
  <c r="Q215" i="1" s="1"/>
  <c r="R11" i="29"/>
  <c r="Q11" i="29"/>
  <c r="P11" i="29"/>
  <c r="O11" i="29"/>
  <c r="M215" i="1" s="1"/>
  <c r="N11" i="29"/>
  <c r="M11" i="29"/>
  <c r="L11" i="29"/>
  <c r="K11" i="29"/>
  <c r="I215" i="1" s="1"/>
  <c r="J11" i="29"/>
  <c r="I11" i="29"/>
  <c r="H11" i="29"/>
  <c r="G11" i="29"/>
  <c r="E215" i="1" s="1"/>
  <c r="F11" i="29"/>
  <c r="E11" i="29"/>
  <c r="D11" i="29"/>
  <c r="C11" i="29"/>
  <c r="B11" i="29"/>
  <c r="A11" i="29"/>
  <c r="S10" i="29"/>
  <c r="R10" i="29"/>
  <c r="P214" i="1" s="1"/>
  <c r="Q10" i="29"/>
  <c r="P10" i="29"/>
  <c r="O10" i="29"/>
  <c r="N10" i="29"/>
  <c r="L214" i="1" s="1"/>
  <c r="M10" i="29"/>
  <c r="L10" i="29"/>
  <c r="K10" i="29"/>
  <c r="J10" i="29"/>
  <c r="H214" i="1" s="1"/>
  <c r="I10" i="29"/>
  <c r="H10" i="29"/>
  <c r="G10" i="29"/>
  <c r="F10" i="29"/>
  <c r="D214" i="1" s="1"/>
  <c r="E10" i="29"/>
  <c r="D10" i="29"/>
  <c r="C10" i="29"/>
  <c r="B10" i="29"/>
  <c r="D214" i="3" s="1"/>
  <c r="A10" i="29"/>
  <c r="S9" i="29"/>
  <c r="R9" i="29"/>
  <c r="Q9" i="29"/>
  <c r="O213" i="1" s="1"/>
  <c r="P9" i="29"/>
  <c r="O9" i="29"/>
  <c r="N9" i="29"/>
  <c r="M9" i="29"/>
  <c r="K213" i="1" s="1"/>
  <c r="L9" i="29"/>
  <c r="K9" i="29"/>
  <c r="J9" i="29"/>
  <c r="I9" i="29"/>
  <c r="G213" i="1" s="1"/>
  <c r="H9" i="29"/>
  <c r="G9" i="29"/>
  <c r="F9" i="29"/>
  <c r="E9" i="29"/>
  <c r="D9" i="29"/>
  <c r="C9" i="29"/>
  <c r="B9" i="29"/>
  <c r="A9" i="29"/>
  <c r="S8" i="29"/>
  <c r="R8" i="29"/>
  <c r="Q8" i="29"/>
  <c r="P8" i="29"/>
  <c r="N212" i="1" s="1"/>
  <c r="O8" i="29"/>
  <c r="N8" i="29"/>
  <c r="M8" i="29"/>
  <c r="L8" i="29"/>
  <c r="J212" i="1" s="1"/>
  <c r="K8" i="29"/>
  <c r="J8" i="29"/>
  <c r="I8" i="29"/>
  <c r="H8" i="29"/>
  <c r="F212" i="1" s="1"/>
  <c r="G8" i="29"/>
  <c r="F8" i="29"/>
  <c r="E8" i="29"/>
  <c r="D8" i="29"/>
  <c r="C8" i="29"/>
  <c r="B8" i="29"/>
  <c r="A8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B7" i="29"/>
  <c r="A7" i="29"/>
  <c r="S6" i="29"/>
  <c r="R6" i="29"/>
  <c r="P210" i="1" s="1"/>
  <c r="Q6" i="29"/>
  <c r="P6" i="29"/>
  <c r="O6" i="29"/>
  <c r="N6" i="29"/>
  <c r="L210" i="1" s="1"/>
  <c r="M6" i="29"/>
  <c r="L6" i="29"/>
  <c r="K6" i="29"/>
  <c r="J6" i="29"/>
  <c r="H210" i="1" s="1"/>
  <c r="I6" i="29"/>
  <c r="H6" i="29"/>
  <c r="G6" i="29"/>
  <c r="F6" i="29"/>
  <c r="D210" i="1" s="1"/>
  <c r="E6" i="29"/>
  <c r="D6" i="29"/>
  <c r="C6" i="29"/>
  <c r="B6" i="29"/>
  <c r="D210" i="3" s="1"/>
  <c r="A6" i="29"/>
  <c r="S5" i="29"/>
  <c r="R5" i="29"/>
  <c r="Q5" i="29"/>
  <c r="O209" i="1" s="1"/>
  <c r="P5" i="29"/>
  <c r="O5" i="29"/>
  <c r="N5" i="29"/>
  <c r="M5" i="29"/>
  <c r="K209" i="1" s="1"/>
  <c r="L5" i="29"/>
  <c r="K5" i="29"/>
  <c r="J5" i="29"/>
  <c r="I5" i="29"/>
  <c r="G209" i="1" s="1"/>
  <c r="H5" i="29"/>
  <c r="G5" i="29"/>
  <c r="F5" i="29"/>
  <c r="E5" i="29"/>
  <c r="D5" i="29"/>
  <c r="C5" i="29"/>
  <c r="B5" i="29"/>
  <c r="A5" i="29"/>
  <c r="S4" i="29"/>
  <c r="R4" i="29"/>
  <c r="Q4" i="29"/>
  <c r="P4" i="29"/>
  <c r="N208" i="1" s="1"/>
  <c r="O4" i="29"/>
  <c r="N4" i="29"/>
  <c r="M4" i="29"/>
  <c r="L4" i="29"/>
  <c r="J208" i="1" s="1"/>
  <c r="K4" i="29"/>
  <c r="J4" i="29"/>
  <c r="I4" i="29"/>
  <c r="H4" i="29"/>
  <c r="F208" i="1" s="1"/>
  <c r="G4" i="29"/>
  <c r="F4" i="29"/>
  <c r="E4" i="29"/>
  <c r="D4" i="29"/>
  <c r="C4" i="29"/>
  <c r="B4" i="29"/>
  <c r="A4" i="29"/>
  <c r="S3" i="29"/>
  <c r="Q207" i="1" s="1"/>
  <c r="R3" i="29"/>
  <c r="Q3" i="29"/>
  <c r="P3" i="29"/>
  <c r="O3" i="29"/>
  <c r="M207" i="1" s="1"/>
  <c r="N3" i="29"/>
  <c r="M3" i="29"/>
  <c r="L3" i="29"/>
  <c r="K3" i="29"/>
  <c r="I207" i="1" s="1"/>
  <c r="J3" i="29"/>
  <c r="I3" i="29"/>
  <c r="H3" i="29"/>
  <c r="G3" i="29"/>
  <c r="E207" i="1" s="1"/>
  <c r="F3" i="29"/>
  <c r="E3" i="29"/>
  <c r="D3" i="29"/>
  <c r="C3" i="29"/>
  <c r="B3" i="29"/>
  <c r="A3" i="29"/>
  <c r="S2" i="29"/>
  <c r="R2" i="29"/>
  <c r="P206" i="1" s="1"/>
  <c r="Q2" i="29"/>
  <c r="P2" i="29"/>
  <c r="O2" i="29"/>
  <c r="N2" i="29"/>
  <c r="L206" i="1" s="1"/>
  <c r="M2" i="29"/>
  <c r="L2" i="29"/>
  <c r="K2" i="29"/>
  <c r="J2" i="29"/>
  <c r="H206" i="1" s="1"/>
  <c r="I2" i="29"/>
  <c r="H2" i="29"/>
  <c r="G2" i="29"/>
  <c r="F2" i="29"/>
  <c r="D206" i="1" s="1"/>
  <c r="E2" i="29"/>
  <c r="D2" i="29"/>
  <c r="C2" i="29"/>
  <c r="B2" i="29"/>
  <c r="D206" i="3" s="1"/>
  <c r="A2" i="29"/>
  <c r="S1" i="29"/>
  <c r="R1" i="29"/>
  <c r="Q1" i="29"/>
  <c r="P1" i="29"/>
  <c r="O1" i="29"/>
  <c r="N1" i="29"/>
  <c r="M1" i="29"/>
  <c r="L1" i="29"/>
  <c r="K1" i="29"/>
  <c r="J1" i="29"/>
  <c r="I1" i="29"/>
  <c r="H1" i="29"/>
  <c r="G1" i="29"/>
  <c r="F1" i="29"/>
  <c r="E1" i="29"/>
  <c r="D1" i="29"/>
  <c r="C1" i="29"/>
  <c r="B1" i="29"/>
  <c r="A1" i="29"/>
  <c r="S18" i="28"/>
  <c r="R18" i="28"/>
  <c r="Q18" i="28"/>
  <c r="P18" i="28"/>
  <c r="R205" i="2" s="1"/>
  <c r="O18" i="28"/>
  <c r="N18" i="28"/>
  <c r="M18" i="28"/>
  <c r="L18" i="28"/>
  <c r="N205" i="2" s="1"/>
  <c r="K18" i="28"/>
  <c r="J18" i="28"/>
  <c r="I18" i="28"/>
  <c r="H18" i="28"/>
  <c r="J205" i="2" s="1"/>
  <c r="G18" i="28"/>
  <c r="F18" i="28"/>
  <c r="E18" i="28"/>
  <c r="D18" i="28"/>
  <c r="B18" i="28"/>
  <c r="A18" i="28"/>
  <c r="S17" i="28"/>
  <c r="R17" i="28"/>
  <c r="T204" i="2" s="1"/>
  <c r="Q17" i="28"/>
  <c r="P17" i="28"/>
  <c r="O17" i="28"/>
  <c r="N17" i="28"/>
  <c r="P204" i="2" s="1"/>
  <c r="M17" i="28"/>
  <c r="L17" i="28"/>
  <c r="K17" i="28"/>
  <c r="J17" i="28"/>
  <c r="L204" i="2" s="1"/>
  <c r="I17" i="28"/>
  <c r="H17" i="28"/>
  <c r="G17" i="28"/>
  <c r="F17" i="28"/>
  <c r="H204" i="2" s="1"/>
  <c r="E17" i="28"/>
  <c r="D17" i="28"/>
  <c r="B17" i="28"/>
  <c r="A17" i="28"/>
  <c r="S16" i="28"/>
  <c r="R16" i="28"/>
  <c r="Q16" i="28"/>
  <c r="P16" i="28"/>
  <c r="R203" i="2" s="1"/>
  <c r="O16" i="28"/>
  <c r="N16" i="28"/>
  <c r="M16" i="28"/>
  <c r="L16" i="28"/>
  <c r="N203" i="2" s="1"/>
  <c r="K16" i="28"/>
  <c r="J16" i="28"/>
  <c r="I16" i="28"/>
  <c r="H16" i="28"/>
  <c r="J203" i="2" s="1"/>
  <c r="G16" i="28"/>
  <c r="F16" i="28"/>
  <c r="E16" i="28"/>
  <c r="D16" i="28"/>
  <c r="B16" i="28"/>
  <c r="A16" i="28"/>
  <c r="S15" i="28"/>
  <c r="R15" i="28"/>
  <c r="T202" i="2" s="1"/>
  <c r="Q15" i="28"/>
  <c r="P15" i="28"/>
  <c r="O15" i="28"/>
  <c r="N15" i="28"/>
  <c r="P202" i="2" s="1"/>
  <c r="M15" i="28"/>
  <c r="L15" i="28"/>
  <c r="K15" i="28"/>
  <c r="J15" i="28"/>
  <c r="L202" i="2" s="1"/>
  <c r="I15" i="28"/>
  <c r="H15" i="28"/>
  <c r="G15" i="28"/>
  <c r="F15" i="28"/>
  <c r="H202" i="2" s="1"/>
  <c r="E15" i="28"/>
  <c r="D15" i="28"/>
  <c r="B15" i="28"/>
  <c r="A15" i="28"/>
  <c r="S14" i="28"/>
  <c r="R14" i="28"/>
  <c r="Q14" i="28"/>
  <c r="P14" i="28"/>
  <c r="R201" i="2" s="1"/>
  <c r="O14" i="28"/>
  <c r="N14" i="28"/>
  <c r="M14" i="28"/>
  <c r="L14" i="28"/>
  <c r="N201" i="2" s="1"/>
  <c r="K14" i="28"/>
  <c r="J14" i="28"/>
  <c r="I14" i="28"/>
  <c r="H14" i="28"/>
  <c r="J201" i="2" s="1"/>
  <c r="G14" i="28"/>
  <c r="F14" i="28"/>
  <c r="E14" i="28"/>
  <c r="D14" i="28"/>
  <c r="B14" i="28"/>
  <c r="A14" i="28"/>
  <c r="S13" i="28"/>
  <c r="R13" i="28"/>
  <c r="T200" i="2" s="1"/>
  <c r="Q13" i="28"/>
  <c r="P13" i="28"/>
  <c r="O13" i="28"/>
  <c r="N13" i="28"/>
  <c r="P200" i="2" s="1"/>
  <c r="M13" i="28"/>
  <c r="L13" i="28"/>
  <c r="K13" i="28"/>
  <c r="J13" i="28"/>
  <c r="L200" i="2" s="1"/>
  <c r="I13" i="28"/>
  <c r="H13" i="28"/>
  <c r="G13" i="28"/>
  <c r="F13" i="28"/>
  <c r="H200" i="2" s="1"/>
  <c r="E13" i="28"/>
  <c r="D13" i="28"/>
  <c r="B13" i="28"/>
  <c r="A13" i="28"/>
  <c r="S12" i="28"/>
  <c r="R12" i="28"/>
  <c r="Q12" i="28"/>
  <c r="P12" i="28"/>
  <c r="R199" i="2" s="1"/>
  <c r="O12" i="28"/>
  <c r="N12" i="28"/>
  <c r="M12" i="28"/>
  <c r="L12" i="28"/>
  <c r="N199" i="2" s="1"/>
  <c r="K12" i="28"/>
  <c r="J12" i="28"/>
  <c r="I12" i="28"/>
  <c r="H12" i="28"/>
  <c r="J199" i="2" s="1"/>
  <c r="G12" i="28"/>
  <c r="F12" i="28"/>
  <c r="E12" i="28"/>
  <c r="D12" i="28"/>
  <c r="B12" i="28"/>
  <c r="A12" i="28"/>
  <c r="S11" i="28"/>
  <c r="R11" i="28"/>
  <c r="T198" i="2" s="1"/>
  <c r="Q11" i="28"/>
  <c r="P11" i="28"/>
  <c r="O11" i="28"/>
  <c r="N11" i="28"/>
  <c r="P198" i="2" s="1"/>
  <c r="M11" i="28"/>
  <c r="L11" i="28"/>
  <c r="K11" i="28"/>
  <c r="J11" i="28"/>
  <c r="L198" i="2" s="1"/>
  <c r="I11" i="28"/>
  <c r="H11" i="28"/>
  <c r="G11" i="28"/>
  <c r="F11" i="28"/>
  <c r="H198" i="2" s="1"/>
  <c r="E11" i="28"/>
  <c r="D11" i="28"/>
  <c r="B11" i="28"/>
  <c r="A11" i="28"/>
  <c r="S10" i="28"/>
  <c r="R10" i="28"/>
  <c r="Q10" i="28"/>
  <c r="P10" i="28"/>
  <c r="R197" i="2" s="1"/>
  <c r="O10" i="28"/>
  <c r="N10" i="28"/>
  <c r="M10" i="28"/>
  <c r="L10" i="28"/>
  <c r="N197" i="2" s="1"/>
  <c r="K10" i="28"/>
  <c r="J10" i="28"/>
  <c r="I10" i="28"/>
  <c r="H10" i="28"/>
  <c r="J197" i="2" s="1"/>
  <c r="G10" i="28"/>
  <c r="F10" i="28"/>
  <c r="E10" i="28"/>
  <c r="D10" i="28"/>
  <c r="B10" i="28"/>
  <c r="A10" i="28"/>
  <c r="S9" i="28"/>
  <c r="R9" i="28"/>
  <c r="T196" i="2" s="1"/>
  <c r="Q9" i="28"/>
  <c r="P9" i="28"/>
  <c r="O9" i="28"/>
  <c r="N9" i="28"/>
  <c r="P196" i="2" s="1"/>
  <c r="M9" i="28"/>
  <c r="L9" i="28"/>
  <c r="K9" i="28"/>
  <c r="J9" i="28"/>
  <c r="L196" i="2" s="1"/>
  <c r="I9" i="28"/>
  <c r="H9" i="28"/>
  <c r="G9" i="28"/>
  <c r="F9" i="28"/>
  <c r="H196" i="2" s="1"/>
  <c r="E9" i="28"/>
  <c r="D9" i="28"/>
  <c r="B9" i="28"/>
  <c r="A9" i="28"/>
  <c r="S8" i="28"/>
  <c r="R8" i="28"/>
  <c r="Q8" i="28"/>
  <c r="P8" i="28"/>
  <c r="R195" i="2" s="1"/>
  <c r="O8" i="28"/>
  <c r="N8" i="28"/>
  <c r="M8" i="28"/>
  <c r="L8" i="28"/>
  <c r="N195" i="2" s="1"/>
  <c r="K8" i="28"/>
  <c r="J8" i="28"/>
  <c r="I8" i="28"/>
  <c r="H8" i="28"/>
  <c r="J195" i="2" s="1"/>
  <c r="G8" i="28"/>
  <c r="F8" i="28"/>
  <c r="E8" i="28"/>
  <c r="D8" i="28"/>
  <c r="B8" i="28"/>
  <c r="A8" i="28"/>
  <c r="S7" i="28"/>
  <c r="R7" i="28"/>
  <c r="T194" i="2" s="1"/>
  <c r="Q7" i="28"/>
  <c r="P7" i="28"/>
  <c r="O7" i="28"/>
  <c r="N7" i="28"/>
  <c r="P194" i="2" s="1"/>
  <c r="M7" i="28"/>
  <c r="L7" i="28"/>
  <c r="K7" i="28"/>
  <c r="J7" i="28"/>
  <c r="L194" i="2" s="1"/>
  <c r="I7" i="28"/>
  <c r="H7" i="28"/>
  <c r="G7" i="28"/>
  <c r="F7" i="28"/>
  <c r="H194" i="2" s="1"/>
  <c r="E7" i="28"/>
  <c r="D7" i="28"/>
  <c r="B7" i="28"/>
  <c r="A7" i="28"/>
  <c r="S6" i="28"/>
  <c r="R6" i="28"/>
  <c r="Q6" i="28"/>
  <c r="P6" i="28"/>
  <c r="R193" i="2" s="1"/>
  <c r="O6" i="28"/>
  <c r="N6" i="28"/>
  <c r="M6" i="28"/>
  <c r="L6" i="28"/>
  <c r="N193" i="2" s="1"/>
  <c r="K6" i="28"/>
  <c r="J6" i="28"/>
  <c r="I6" i="28"/>
  <c r="H6" i="28"/>
  <c r="J193" i="2" s="1"/>
  <c r="G6" i="28"/>
  <c r="F6" i="28"/>
  <c r="E6" i="28"/>
  <c r="D6" i="28"/>
  <c r="B6" i="28"/>
  <c r="A6" i="28"/>
  <c r="S5" i="28"/>
  <c r="R5" i="28"/>
  <c r="T192" i="2" s="1"/>
  <c r="Q5" i="28"/>
  <c r="P5" i="28"/>
  <c r="O5" i="28"/>
  <c r="N5" i="28"/>
  <c r="P192" i="2" s="1"/>
  <c r="M5" i="28"/>
  <c r="L5" i="28"/>
  <c r="K5" i="28"/>
  <c r="J5" i="28"/>
  <c r="L192" i="2" s="1"/>
  <c r="I5" i="28"/>
  <c r="H5" i="28"/>
  <c r="G5" i="28"/>
  <c r="F5" i="28"/>
  <c r="H192" i="2" s="1"/>
  <c r="E5" i="28"/>
  <c r="D5" i="28"/>
  <c r="B5" i="28"/>
  <c r="A5" i="28"/>
  <c r="S4" i="28"/>
  <c r="R4" i="28"/>
  <c r="Q4" i="28"/>
  <c r="P4" i="28"/>
  <c r="R191" i="2" s="1"/>
  <c r="O4" i="28"/>
  <c r="N4" i="28"/>
  <c r="M4" i="28"/>
  <c r="L4" i="28"/>
  <c r="N191" i="2" s="1"/>
  <c r="K4" i="28"/>
  <c r="J4" i="28"/>
  <c r="I4" i="28"/>
  <c r="H4" i="28"/>
  <c r="J191" i="2" s="1"/>
  <c r="G4" i="28"/>
  <c r="F4" i="28"/>
  <c r="E4" i="28"/>
  <c r="D4" i="28"/>
  <c r="B4" i="28"/>
  <c r="A4" i="28"/>
  <c r="S3" i="28"/>
  <c r="R3" i="28"/>
  <c r="T190" i="2" s="1"/>
  <c r="Q3" i="28"/>
  <c r="P3" i="28"/>
  <c r="O3" i="28"/>
  <c r="N3" i="28"/>
  <c r="P190" i="2" s="1"/>
  <c r="M3" i="28"/>
  <c r="L3" i="28"/>
  <c r="K3" i="28"/>
  <c r="J3" i="28"/>
  <c r="L190" i="2" s="1"/>
  <c r="I3" i="28"/>
  <c r="H3" i="28"/>
  <c r="G3" i="28"/>
  <c r="F3" i="28"/>
  <c r="H190" i="2" s="1"/>
  <c r="E3" i="28"/>
  <c r="D3" i="28"/>
  <c r="B3" i="28"/>
  <c r="A3" i="28"/>
  <c r="S2" i="28"/>
  <c r="R2" i="28"/>
  <c r="Q2" i="28"/>
  <c r="P2" i="28"/>
  <c r="R189" i="2" s="1"/>
  <c r="O2" i="28"/>
  <c r="N2" i="28"/>
  <c r="M2" i="28"/>
  <c r="L2" i="28"/>
  <c r="N189" i="2" s="1"/>
  <c r="K2" i="28"/>
  <c r="J2" i="28"/>
  <c r="I2" i="28"/>
  <c r="H2" i="28"/>
  <c r="J189" i="2" s="1"/>
  <c r="G2" i="28"/>
  <c r="F2" i="28"/>
  <c r="E2" i="28"/>
  <c r="D2" i="28"/>
  <c r="B2" i="28"/>
  <c r="A2" i="28"/>
  <c r="S1" i="28"/>
  <c r="R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1" i="28"/>
  <c r="C1" i="28"/>
  <c r="B1" i="28"/>
  <c r="A1" i="28"/>
  <c r="S18" i="27"/>
  <c r="R18" i="27"/>
  <c r="Q18" i="27"/>
  <c r="O205" i="1" s="1"/>
  <c r="P18" i="27"/>
  <c r="O18" i="27"/>
  <c r="N18" i="27"/>
  <c r="M18" i="27"/>
  <c r="K205" i="1" s="1"/>
  <c r="L18" i="27"/>
  <c r="K18" i="27"/>
  <c r="J18" i="27"/>
  <c r="I18" i="27"/>
  <c r="G205" i="1" s="1"/>
  <c r="H18" i="27"/>
  <c r="G18" i="27"/>
  <c r="F18" i="27"/>
  <c r="E18" i="27"/>
  <c r="G205" i="3" s="1"/>
  <c r="D18" i="27"/>
  <c r="C18" i="27"/>
  <c r="B18" i="27"/>
  <c r="A18" i="27"/>
  <c r="S17" i="27"/>
  <c r="R17" i="27"/>
  <c r="Q17" i="27"/>
  <c r="P17" i="27"/>
  <c r="N204" i="1" s="1"/>
  <c r="O17" i="27"/>
  <c r="N17" i="27"/>
  <c r="M17" i="27"/>
  <c r="L17" i="27"/>
  <c r="J204" i="1" s="1"/>
  <c r="K17" i="27"/>
  <c r="J17" i="27"/>
  <c r="I17" i="27"/>
  <c r="H17" i="27"/>
  <c r="F204" i="1" s="1"/>
  <c r="G17" i="27"/>
  <c r="F17" i="27"/>
  <c r="E17" i="27"/>
  <c r="D17" i="27"/>
  <c r="F204" i="3" s="1"/>
  <c r="C17" i="27"/>
  <c r="B17" i="27"/>
  <c r="A17" i="27"/>
  <c r="S16" i="27"/>
  <c r="Q203" i="1" s="1"/>
  <c r="R16" i="27"/>
  <c r="Q16" i="27"/>
  <c r="P16" i="27"/>
  <c r="O16" i="27"/>
  <c r="M203" i="1" s="1"/>
  <c r="N16" i="27"/>
  <c r="M16" i="27"/>
  <c r="L16" i="27"/>
  <c r="K16" i="27"/>
  <c r="I203" i="1" s="1"/>
  <c r="J16" i="27"/>
  <c r="I16" i="27"/>
  <c r="H16" i="27"/>
  <c r="G16" i="27"/>
  <c r="E203" i="1" s="1"/>
  <c r="F16" i="27"/>
  <c r="E16" i="27"/>
  <c r="D16" i="27"/>
  <c r="C16" i="27"/>
  <c r="B16" i="27"/>
  <c r="A16" i="27"/>
  <c r="S15" i="27"/>
  <c r="R15" i="27"/>
  <c r="P202" i="1" s="1"/>
  <c r="Q15" i="27"/>
  <c r="P15" i="27"/>
  <c r="O15" i="27"/>
  <c r="N15" i="27"/>
  <c r="L202" i="1" s="1"/>
  <c r="M15" i="27"/>
  <c r="L15" i="27"/>
  <c r="K15" i="27"/>
  <c r="J15" i="27"/>
  <c r="H202" i="1" s="1"/>
  <c r="I15" i="27"/>
  <c r="H15" i="27"/>
  <c r="G15" i="27"/>
  <c r="F15" i="27"/>
  <c r="D202" i="1" s="1"/>
  <c r="E15" i="27"/>
  <c r="D15" i="27"/>
  <c r="C15" i="27"/>
  <c r="B15" i="27"/>
  <c r="A15" i="27"/>
  <c r="S14" i="27"/>
  <c r="R14" i="27"/>
  <c r="Q14" i="27"/>
  <c r="O201" i="1" s="1"/>
  <c r="P14" i="27"/>
  <c r="O14" i="27"/>
  <c r="N14" i="27"/>
  <c r="M14" i="27"/>
  <c r="K201" i="1" s="1"/>
  <c r="L14" i="27"/>
  <c r="K14" i="27"/>
  <c r="J14" i="27"/>
  <c r="I14" i="27"/>
  <c r="G201" i="1" s="1"/>
  <c r="H14" i="27"/>
  <c r="G14" i="27"/>
  <c r="F14" i="27"/>
  <c r="E14" i="27"/>
  <c r="G201" i="3" s="1"/>
  <c r="D14" i="27"/>
  <c r="C14" i="27"/>
  <c r="B14" i="27"/>
  <c r="A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F200" i="3" s="1"/>
  <c r="C13" i="27"/>
  <c r="B13" i="27"/>
  <c r="A13" i="27"/>
  <c r="S12" i="27"/>
  <c r="Q199" i="1" s="1"/>
  <c r="R12" i="27"/>
  <c r="Q12" i="27"/>
  <c r="P12" i="27"/>
  <c r="O12" i="27"/>
  <c r="M199" i="1" s="1"/>
  <c r="N12" i="27"/>
  <c r="M12" i="27"/>
  <c r="L12" i="27"/>
  <c r="K12" i="27"/>
  <c r="I199" i="1" s="1"/>
  <c r="J12" i="27"/>
  <c r="I12" i="27"/>
  <c r="H12" i="27"/>
  <c r="G12" i="27"/>
  <c r="E199" i="1" s="1"/>
  <c r="F12" i="27"/>
  <c r="E12" i="27"/>
  <c r="D12" i="27"/>
  <c r="C12" i="27"/>
  <c r="B12" i="27"/>
  <c r="A12" i="27"/>
  <c r="S11" i="27"/>
  <c r="R11" i="27"/>
  <c r="P198" i="1" s="1"/>
  <c r="Q11" i="27"/>
  <c r="P11" i="27"/>
  <c r="O11" i="27"/>
  <c r="N11" i="27"/>
  <c r="L198" i="1" s="1"/>
  <c r="M11" i="27"/>
  <c r="L11" i="27"/>
  <c r="K11" i="27"/>
  <c r="J11" i="27"/>
  <c r="H198" i="1" s="1"/>
  <c r="I11" i="27"/>
  <c r="H11" i="27"/>
  <c r="G11" i="27"/>
  <c r="F11" i="27"/>
  <c r="D198" i="1" s="1"/>
  <c r="E11" i="27"/>
  <c r="D11" i="27"/>
  <c r="C11" i="27"/>
  <c r="B11" i="27"/>
  <c r="A11" i="27"/>
  <c r="S10" i="27"/>
  <c r="R10" i="27"/>
  <c r="Q10" i="27"/>
  <c r="O197" i="1" s="1"/>
  <c r="P10" i="27"/>
  <c r="O10" i="27"/>
  <c r="N10" i="27"/>
  <c r="M10" i="27"/>
  <c r="K197" i="1" s="1"/>
  <c r="L10" i="27"/>
  <c r="K10" i="27"/>
  <c r="J10" i="27"/>
  <c r="I10" i="27"/>
  <c r="G197" i="1" s="1"/>
  <c r="H10" i="27"/>
  <c r="G10" i="27"/>
  <c r="F10" i="27"/>
  <c r="E10" i="27"/>
  <c r="G197" i="3" s="1"/>
  <c r="D10" i="27"/>
  <c r="C10" i="27"/>
  <c r="B10" i="27"/>
  <c r="A10" i="27"/>
  <c r="S9" i="27"/>
  <c r="R9" i="27"/>
  <c r="Q9" i="27"/>
  <c r="P9" i="27"/>
  <c r="N196" i="1" s="1"/>
  <c r="O9" i="27"/>
  <c r="N9" i="27"/>
  <c r="M9" i="27"/>
  <c r="L9" i="27"/>
  <c r="J196" i="1" s="1"/>
  <c r="K9" i="27"/>
  <c r="J9" i="27"/>
  <c r="I9" i="27"/>
  <c r="H9" i="27"/>
  <c r="F196" i="1" s="1"/>
  <c r="G9" i="27"/>
  <c r="F9" i="27"/>
  <c r="E9" i="27"/>
  <c r="D9" i="27"/>
  <c r="F196" i="3" s="1"/>
  <c r="C9" i="27"/>
  <c r="B9" i="27"/>
  <c r="A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B8" i="27"/>
  <c r="A8" i="27"/>
  <c r="S7" i="27"/>
  <c r="R7" i="27"/>
  <c r="P194" i="1" s="1"/>
  <c r="Q7" i="27"/>
  <c r="P7" i="27"/>
  <c r="O7" i="27"/>
  <c r="N7" i="27"/>
  <c r="L194" i="1" s="1"/>
  <c r="M7" i="27"/>
  <c r="L7" i="27"/>
  <c r="K7" i="27"/>
  <c r="J7" i="27"/>
  <c r="H194" i="1" s="1"/>
  <c r="I7" i="27"/>
  <c r="H7" i="27"/>
  <c r="G7" i="27"/>
  <c r="F7" i="27"/>
  <c r="D194" i="1" s="1"/>
  <c r="E7" i="27"/>
  <c r="D7" i="27"/>
  <c r="C7" i="27"/>
  <c r="B7" i="27"/>
  <c r="A7" i="27"/>
  <c r="S6" i="27"/>
  <c r="R6" i="27"/>
  <c r="Q6" i="27"/>
  <c r="O193" i="1" s="1"/>
  <c r="P6" i="27"/>
  <c r="O6" i="27"/>
  <c r="N6" i="27"/>
  <c r="M6" i="27"/>
  <c r="K193" i="1" s="1"/>
  <c r="L6" i="27"/>
  <c r="K6" i="27"/>
  <c r="J6" i="27"/>
  <c r="I6" i="27"/>
  <c r="G193" i="1" s="1"/>
  <c r="H6" i="27"/>
  <c r="G6" i="27"/>
  <c r="F6" i="27"/>
  <c r="E6" i="27"/>
  <c r="G193" i="3" s="1"/>
  <c r="D6" i="27"/>
  <c r="C6" i="27"/>
  <c r="B6" i="27"/>
  <c r="A6" i="27"/>
  <c r="S5" i="27"/>
  <c r="R5" i="27"/>
  <c r="Q5" i="27"/>
  <c r="P5" i="27"/>
  <c r="N192" i="1" s="1"/>
  <c r="O5" i="27"/>
  <c r="N5" i="27"/>
  <c r="M5" i="27"/>
  <c r="L5" i="27"/>
  <c r="J192" i="1" s="1"/>
  <c r="K5" i="27"/>
  <c r="J5" i="27"/>
  <c r="I5" i="27"/>
  <c r="H5" i="27"/>
  <c r="F192" i="1" s="1"/>
  <c r="G5" i="27"/>
  <c r="F5" i="27"/>
  <c r="E5" i="27"/>
  <c r="D5" i="27"/>
  <c r="F192" i="3" s="1"/>
  <c r="C5" i="27"/>
  <c r="B5" i="27"/>
  <c r="A5" i="27"/>
  <c r="S4" i="27"/>
  <c r="Q191" i="1" s="1"/>
  <c r="R4" i="27"/>
  <c r="Q4" i="27"/>
  <c r="P4" i="27"/>
  <c r="O4" i="27"/>
  <c r="M191" i="1" s="1"/>
  <c r="N4" i="27"/>
  <c r="M4" i="27"/>
  <c r="L4" i="27"/>
  <c r="K4" i="27"/>
  <c r="I191" i="1" s="1"/>
  <c r="J4" i="27"/>
  <c r="I4" i="27"/>
  <c r="H4" i="27"/>
  <c r="G4" i="27"/>
  <c r="E191" i="1" s="1"/>
  <c r="F4" i="27"/>
  <c r="E4" i="27"/>
  <c r="D4" i="27"/>
  <c r="C4" i="27"/>
  <c r="B4" i="27"/>
  <c r="A4" i="27"/>
  <c r="S3" i="27"/>
  <c r="R3" i="27"/>
  <c r="P190" i="1" s="1"/>
  <c r="Q3" i="27"/>
  <c r="P3" i="27"/>
  <c r="O3" i="27"/>
  <c r="N3" i="27"/>
  <c r="L190" i="1" s="1"/>
  <c r="M3" i="27"/>
  <c r="L3" i="27"/>
  <c r="K3" i="27"/>
  <c r="J3" i="27"/>
  <c r="H190" i="1" s="1"/>
  <c r="I3" i="27"/>
  <c r="H3" i="27"/>
  <c r="G3" i="27"/>
  <c r="F3" i="27"/>
  <c r="D190" i="1" s="1"/>
  <c r="E3" i="27"/>
  <c r="D3" i="27"/>
  <c r="C3" i="27"/>
  <c r="B3" i="27"/>
  <c r="A3" i="27"/>
  <c r="S2" i="27"/>
  <c r="R2" i="27"/>
  <c r="Q2" i="27"/>
  <c r="O189" i="1" s="1"/>
  <c r="P2" i="27"/>
  <c r="O2" i="27"/>
  <c r="N2" i="27"/>
  <c r="M2" i="27"/>
  <c r="K189" i="1" s="1"/>
  <c r="L2" i="27"/>
  <c r="K2" i="27"/>
  <c r="J2" i="27"/>
  <c r="I2" i="27"/>
  <c r="G189" i="1" s="1"/>
  <c r="H2" i="27"/>
  <c r="G2" i="27"/>
  <c r="F2" i="27"/>
  <c r="E2" i="27"/>
  <c r="G189" i="3" s="1"/>
  <c r="D2" i="27"/>
  <c r="C2" i="27"/>
  <c r="B2" i="27"/>
  <c r="A2" i="27"/>
  <c r="S1" i="27"/>
  <c r="R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1" i="27"/>
  <c r="C1" i="27"/>
  <c r="B1" i="27"/>
  <c r="A1" i="27"/>
  <c r="S94" i="26"/>
  <c r="U188" i="2" s="1"/>
  <c r="R94" i="26"/>
  <c r="Q94" i="26"/>
  <c r="P94" i="26"/>
  <c r="O94" i="26"/>
  <c r="Q188" i="2" s="1"/>
  <c r="N94" i="26"/>
  <c r="M94" i="26"/>
  <c r="L94" i="26"/>
  <c r="K94" i="26"/>
  <c r="M188" i="2" s="1"/>
  <c r="J94" i="26"/>
  <c r="I94" i="26"/>
  <c r="H94" i="26"/>
  <c r="G94" i="26"/>
  <c r="I188" i="2" s="1"/>
  <c r="F94" i="26"/>
  <c r="E94" i="26"/>
  <c r="D94" i="26"/>
  <c r="B94" i="26"/>
  <c r="A94" i="26"/>
  <c r="S93" i="26"/>
  <c r="R93" i="26"/>
  <c r="Q93" i="26"/>
  <c r="S187" i="2" s="1"/>
  <c r="P93" i="26"/>
  <c r="O93" i="26"/>
  <c r="N93" i="26"/>
  <c r="M93" i="26"/>
  <c r="O187" i="2" s="1"/>
  <c r="L93" i="26"/>
  <c r="K93" i="26"/>
  <c r="J93" i="26"/>
  <c r="I93" i="26"/>
  <c r="K187" i="2" s="1"/>
  <c r="H93" i="26"/>
  <c r="G93" i="26"/>
  <c r="F93" i="26"/>
  <c r="E93" i="26"/>
  <c r="D93" i="26"/>
  <c r="B93" i="26"/>
  <c r="A93" i="26"/>
  <c r="S92" i="26"/>
  <c r="U186" i="2" s="1"/>
  <c r="R92" i="26"/>
  <c r="Q92" i="26"/>
  <c r="P92" i="26"/>
  <c r="O92" i="26"/>
  <c r="Q186" i="2" s="1"/>
  <c r="N92" i="26"/>
  <c r="M92" i="26"/>
  <c r="L92" i="26"/>
  <c r="K92" i="26"/>
  <c r="M186" i="2" s="1"/>
  <c r="J92" i="26"/>
  <c r="I92" i="26"/>
  <c r="H92" i="26"/>
  <c r="G92" i="26"/>
  <c r="I186" i="2" s="1"/>
  <c r="F92" i="26"/>
  <c r="E92" i="26"/>
  <c r="D92" i="26"/>
  <c r="B92" i="26"/>
  <c r="A92" i="26"/>
  <c r="S91" i="26"/>
  <c r="R91" i="26"/>
  <c r="Q91" i="26"/>
  <c r="S185" i="2" s="1"/>
  <c r="P91" i="26"/>
  <c r="O91" i="26"/>
  <c r="N91" i="26"/>
  <c r="M91" i="26"/>
  <c r="O185" i="2" s="1"/>
  <c r="L91" i="26"/>
  <c r="K91" i="26"/>
  <c r="J91" i="26"/>
  <c r="I91" i="26"/>
  <c r="K185" i="2" s="1"/>
  <c r="H91" i="26"/>
  <c r="G91" i="26"/>
  <c r="F91" i="26"/>
  <c r="E91" i="26"/>
  <c r="D91" i="26"/>
  <c r="B91" i="26"/>
  <c r="A91" i="26"/>
  <c r="S90" i="26"/>
  <c r="U184" i="2" s="1"/>
  <c r="R90" i="26"/>
  <c r="Q90" i="26"/>
  <c r="P90" i="26"/>
  <c r="O90" i="26"/>
  <c r="Q184" i="2" s="1"/>
  <c r="N90" i="26"/>
  <c r="M90" i="26"/>
  <c r="L90" i="26"/>
  <c r="K90" i="26"/>
  <c r="M184" i="2" s="1"/>
  <c r="J90" i="26"/>
  <c r="I90" i="26"/>
  <c r="H90" i="26"/>
  <c r="G90" i="26"/>
  <c r="I184" i="2" s="1"/>
  <c r="F90" i="26"/>
  <c r="E90" i="26"/>
  <c r="D90" i="26"/>
  <c r="B90" i="26"/>
  <c r="A90" i="26"/>
  <c r="S89" i="26"/>
  <c r="R89" i="26"/>
  <c r="Q89" i="26"/>
  <c r="S183" i="2" s="1"/>
  <c r="P89" i="26"/>
  <c r="O89" i="26"/>
  <c r="N89" i="26"/>
  <c r="M89" i="26"/>
  <c r="O183" i="2" s="1"/>
  <c r="L89" i="26"/>
  <c r="K89" i="26"/>
  <c r="J89" i="26"/>
  <c r="I89" i="26"/>
  <c r="K183" i="2" s="1"/>
  <c r="H89" i="26"/>
  <c r="G89" i="26"/>
  <c r="F89" i="26"/>
  <c r="E89" i="26"/>
  <c r="D89" i="26"/>
  <c r="B89" i="26"/>
  <c r="A89" i="26"/>
  <c r="S88" i="26"/>
  <c r="U182" i="2" s="1"/>
  <c r="R88" i="26"/>
  <c r="Q88" i="26"/>
  <c r="P88" i="26"/>
  <c r="O88" i="26"/>
  <c r="Q182" i="2" s="1"/>
  <c r="N88" i="26"/>
  <c r="M88" i="26"/>
  <c r="L88" i="26"/>
  <c r="K88" i="26"/>
  <c r="M182" i="2" s="1"/>
  <c r="J88" i="26"/>
  <c r="I88" i="26"/>
  <c r="H88" i="26"/>
  <c r="G88" i="26"/>
  <c r="I182" i="2" s="1"/>
  <c r="F88" i="26"/>
  <c r="E88" i="26"/>
  <c r="D88" i="26"/>
  <c r="B88" i="26"/>
  <c r="A88" i="26"/>
  <c r="S87" i="26"/>
  <c r="R87" i="26"/>
  <c r="Q87" i="26"/>
  <c r="S181" i="2" s="1"/>
  <c r="P87" i="26"/>
  <c r="O87" i="26"/>
  <c r="N87" i="26"/>
  <c r="M87" i="26"/>
  <c r="O181" i="2" s="1"/>
  <c r="L87" i="26"/>
  <c r="K87" i="26"/>
  <c r="J87" i="26"/>
  <c r="I87" i="26"/>
  <c r="K181" i="2" s="1"/>
  <c r="H87" i="26"/>
  <c r="G87" i="26"/>
  <c r="F87" i="26"/>
  <c r="E87" i="26"/>
  <c r="D87" i="26"/>
  <c r="B87" i="26"/>
  <c r="A87" i="26"/>
  <c r="S86" i="26"/>
  <c r="U180" i="2" s="1"/>
  <c r="R86" i="26"/>
  <c r="Q86" i="26"/>
  <c r="P86" i="26"/>
  <c r="O86" i="26"/>
  <c r="Q180" i="2" s="1"/>
  <c r="N86" i="26"/>
  <c r="M86" i="26"/>
  <c r="L86" i="26"/>
  <c r="K86" i="26"/>
  <c r="M180" i="2" s="1"/>
  <c r="J86" i="26"/>
  <c r="I86" i="26"/>
  <c r="H86" i="26"/>
  <c r="G86" i="26"/>
  <c r="I180" i="2" s="1"/>
  <c r="F86" i="26"/>
  <c r="E86" i="26"/>
  <c r="D86" i="26"/>
  <c r="B86" i="26"/>
  <c r="A86" i="26"/>
  <c r="S85" i="26"/>
  <c r="R85" i="26"/>
  <c r="Q85" i="26"/>
  <c r="S179" i="2" s="1"/>
  <c r="P85" i="26"/>
  <c r="O85" i="26"/>
  <c r="N85" i="26"/>
  <c r="M85" i="26"/>
  <c r="O179" i="2" s="1"/>
  <c r="L85" i="26"/>
  <c r="K85" i="26"/>
  <c r="J85" i="26"/>
  <c r="I85" i="26"/>
  <c r="K179" i="2" s="1"/>
  <c r="H85" i="26"/>
  <c r="G85" i="26"/>
  <c r="F85" i="26"/>
  <c r="E85" i="26"/>
  <c r="D85" i="26"/>
  <c r="B85" i="26"/>
  <c r="A85" i="26"/>
  <c r="S84" i="26"/>
  <c r="U178" i="2" s="1"/>
  <c r="R84" i="26"/>
  <c r="Q84" i="26"/>
  <c r="P84" i="26"/>
  <c r="O84" i="26"/>
  <c r="Q178" i="2" s="1"/>
  <c r="N84" i="26"/>
  <c r="M84" i="26"/>
  <c r="L84" i="26"/>
  <c r="K84" i="26"/>
  <c r="M178" i="2" s="1"/>
  <c r="J84" i="26"/>
  <c r="I84" i="26"/>
  <c r="H84" i="26"/>
  <c r="G84" i="26"/>
  <c r="I178" i="2" s="1"/>
  <c r="F84" i="26"/>
  <c r="E84" i="26"/>
  <c r="D84" i="26"/>
  <c r="B84" i="26"/>
  <c r="A84" i="26"/>
  <c r="S83" i="26"/>
  <c r="R83" i="26"/>
  <c r="Q83" i="26"/>
  <c r="S177" i="2" s="1"/>
  <c r="P83" i="26"/>
  <c r="O83" i="26"/>
  <c r="N83" i="26"/>
  <c r="M83" i="26"/>
  <c r="O177" i="2" s="1"/>
  <c r="L83" i="26"/>
  <c r="K83" i="26"/>
  <c r="J83" i="26"/>
  <c r="I83" i="26"/>
  <c r="K177" i="2" s="1"/>
  <c r="H83" i="26"/>
  <c r="G83" i="26"/>
  <c r="F83" i="26"/>
  <c r="E83" i="26"/>
  <c r="D83" i="26"/>
  <c r="B83" i="26"/>
  <c r="A83" i="26"/>
  <c r="S82" i="26"/>
  <c r="U176" i="2" s="1"/>
  <c r="R82" i="26"/>
  <c r="Q82" i="26"/>
  <c r="P82" i="26"/>
  <c r="O82" i="26"/>
  <c r="Q176" i="2" s="1"/>
  <c r="N82" i="26"/>
  <c r="M82" i="26"/>
  <c r="L82" i="26"/>
  <c r="K82" i="26"/>
  <c r="M176" i="2" s="1"/>
  <c r="J82" i="26"/>
  <c r="I82" i="26"/>
  <c r="H82" i="26"/>
  <c r="G82" i="26"/>
  <c r="I176" i="2" s="1"/>
  <c r="F82" i="26"/>
  <c r="E82" i="26"/>
  <c r="D82" i="26"/>
  <c r="B82" i="26"/>
  <c r="A82" i="26"/>
  <c r="S81" i="26"/>
  <c r="R81" i="26"/>
  <c r="Q81" i="26"/>
  <c r="S175" i="2" s="1"/>
  <c r="P81" i="26"/>
  <c r="O81" i="26"/>
  <c r="N81" i="26"/>
  <c r="M81" i="26"/>
  <c r="O175" i="2" s="1"/>
  <c r="L81" i="26"/>
  <c r="K81" i="26"/>
  <c r="J81" i="26"/>
  <c r="I81" i="26"/>
  <c r="K175" i="2" s="1"/>
  <c r="H81" i="26"/>
  <c r="G81" i="26"/>
  <c r="F81" i="26"/>
  <c r="E81" i="26"/>
  <c r="D81" i="26"/>
  <c r="B81" i="26"/>
  <c r="A81" i="26"/>
  <c r="S80" i="26"/>
  <c r="U174" i="2" s="1"/>
  <c r="R80" i="26"/>
  <c r="Q80" i="26"/>
  <c r="P80" i="26"/>
  <c r="O80" i="26"/>
  <c r="Q174" i="2" s="1"/>
  <c r="N80" i="26"/>
  <c r="M80" i="26"/>
  <c r="L80" i="26"/>
  <c r="K80" i="26"/>
  <c r="M174" i="2" s="1"/>
  <c r="J80" i="26"/>
  <c r="I80" i="26"/>
  <c r="H80" i="26"/>
  <c r="G80" i="26"/>
  <c r="I174" i="2" s="1"/>
  <c r="F80" i="26"/>
  <c r="E80" i="26"/>
  <c r="D80" i="26"/>
  <c r="B80" i="26"/>
  <c r="A80" i="26"/>
  <c r="S79" i="26"/>
  <c r="R79" i="26"/>
  <c r="Q79" i="26"/>
  <c r="S173" i="2" s="1"/>
  <c r="P79" i="26"/>
  <c r="O79" i="26"/>
  <c r="N79" i="26"/>
  <c r="M79" i="26"/>
  <c r="O173" i="2" s="1"/>
  <c r="L79" i="26"/>
  <c r="K79" i="26"/>
  <c r="J79" i="26"/>
  <c r="I79" i="26"/>
  <c r="K173" i="2" s="1"/>
  <c r="H79" i="26"/>
  <c r="G79" i="26"/>
  <c r="F79" i="26"/>
  <c r="E79" i="26"/>
  <c r="D79" i="26"/>
  <c r="B79" i="26"/>
  <c r="A79" i="26"/>
  <c r="S78" i="26"/>
  <c r="U172" i="2" s="1"/>
  <c r="R78" i="26"/>
  <c r="Q78" i="26"/>
  <c r="P78" i="26"/>
  <c r="O78" i="26"/>
  <c r="Q172" i="2" s="1"/>
  <c r="N78" i="26"/>
  <c r="M78" i="26"/>
  <c r="L78" i="26"/>
  <c r="K78" i="26"/>
  <c r="M172" i="2" s="1"/>
  <c r="J78" i="26"/>
  <c r="I78" i="26"/>
  <c r="H78" i="26"/>
  <c r="G78" i="26"/>
  <c r="I172" i="2" s="1"/>
  <c r="F78" i="26"/>
  <c r="E78" i="26"/>
  <c r="D78" i="26"/>
  <c r="B78" i="26"/>
  <c r="A78" i="26"/>
  <c r="S77" i="26"/>
  <c r="R77" i="26"/>
  <c r="Q77" i="26"/>
  <c r="S171" i="2" s="1"/>
  <c r="P77" i="26"/>
  <c r="O77" i="26"/>
  <c r="N77" i="26"/>
  <c r="M77" i="26"/>
  <c r="O171" i="2" s="1"/>
  <c r="L77" i="26"/>
  <c r="K77" i="26"/>
  <c r="J77" i="26"/>
  <c r="I77" i="26"/>
  <c r="K171" i="2" s="1"/>
  <c r="H77" i="26"/>
  <c r="G77" i="26"/>
  <c r="F77" i="26"/>
  <c r="E77" i="26"/>
  <c r="D77" i="26"/>
  <c r="B77" i="26"/>
  <c r="A77" i="26"/>
  <c r="S76" i="26"/>
  <c r="U170" i="2" s="1"/>
  <c r="R76" i="26"/>
  <c r="Q76" i="26"/>
  <c r="P76" i="26"/>
  <c r="O76" i="26"/>
  <c r="Q170" i="2" s="1"/>
  <c r="N76" i="26"/>
  <c r="M76" i="26"/>
  <c r="L76" i="26"/>
  <c r="K76" i="26"/>
  <c r="M170" i="2" s="1"/>
  <c r="J76" i="26"/>
  <c r="I76" i="26"/>
  <c r="H76" i="26"/>
  <c r="G76" i="26"/>
  <c r="I170" i="2" s="1"/>
  <c r="F76" i="26"/>
  <c r="E76" i="26"/>
  <c r="D76" i="26"/>
  <c r="B76" i="26"/>
  <c r="A76" i="26"/>
  <c r="S75" i="26"/>
  <c r="R75" i="26"/>
  <c r="Q75" i="26"/>
  <c r="S169" i="2" s="1"/>
  <c r="P75" i="26"/>
  <c r="O75" i="26"/>
  <c r="N75" i="26"/>
  <c r="M75" i="26"/>
  <c r="O169" i="2" s="1"/>
  <c r="L75" i="26"/>
  <c r="K75" i="26"/>
  <c r="J75" i="26"/>
  <c r="I75" i="26"/>
  <c r="K169" i="2" s="1"/>
  <c r="H75" i="26"/>
  <c r="G75" i="26"/>
  <c r="F75" i="26"/>
  <c r="E75" i="26"/>
  <c r="D75" i="26"/>
  <c r="B75" i="26"/>
  <c r="A75" i="26"/>
  <c r="S74" i="26"/>
  <c r="U168" i="2" s="1"/>
  <c r="R74" i="26"/>
  <c r="Q74" i="26"/>
  <c r="P74" i="26"/>
  <c r="O74" i="26"/>
  <c r="Q168" i="2" s="1"/>
  <c r="N74" i="26"/>
  <c r="M74" i="26"/>
  <c r="L74" i="26"/>
  <c r="K74" i="26"/>
  <c r="M168" i="2" s="1"/>
  <c r="J74" i="26"/>
  <c r="I74" i="26"/>
  <c r="H74" i="26"/>
  <c r="G74" i="26"/>
  <c r="I168" i="2" s="1"/>
  <c r="F74" i="26"/>
  <c r="E74" i="26"/>
  <c r="D74" i="26"/>
  <c r="B74" i="26"/>
  <c r="A74" i="26"/>
  <c r="S73" i="26"/>
  <c r="R73" i="26"/>
  <c r="Q73" i="26"/>
  <c r="S167" i="2" s="1"/>
  <c r="P73" i="26"/>
  <c r="O73" i="26"/>
  <c r="N73" i="26"/>
  <c r="M73" i="26"/>
  <c r="O167" i="2" s="1"/>
  <c r="L73" i="26"/>
  <c r="K73" i="26"/>
  <c r="J73" i="26"/>
  <c r="I73" i="26"/>
  <c r="K167" i="2" s="1"/>
  <c r="H73" i="26"/>
  <c r="G73" i="26"/>
  <c r="F73" i="26"/>
  <c r="E73" i="26"/>
  <c r="D73" i="26"/>
  <c r="B73" i="26"/>
  <c r="A73" i="26"/>
  <c r="S72" i="26"/>
  <c r="U166" i="2" s="1"/>
  <c r="R72" i="26"/>
  <c r="Q72" i="26"/>
  <c r="P72" i="26"/>
  <c r="O72" i="26"/>
  <c r="Q166" i="2" s="1"/>
  <c r="N72" i="26"/>
  <c r="M72" i="26"/>
  <c r="L72" i="26"/>
  <c r="K72" i="26"/>
  <c r="M166" i="2" s="1"/>
  <c r="J72" i="26"/>
  <c r="I72" i="26"/>
  <c r="H72" i="26"/>
  <c r="G72" i="26"/>
  <c r="I166" i="2" s="1"/>
  <c r="F72" i="26"/>
  <c r="E72" i="26"/>
  <c r="D72" i="26"/>
  <c r="B72" i="26"/>
  <c r="A72" i="26"/>
  <c r="S71" i="26"/>
  <c r="R71" i="26"/>
  <c r="Q71" i="26"/>
  <c r="S165" i="2" s="1"/>
  <c r="P71" i="26"/>
  <c r="O71" i="26"/>
  <c r="N71" i="26"/>
  <c r="M71" i="26"/>
  <c r="O165" i="2" s="1"/>
  <c r="L71" i="26"/>
  <c r="K71" i="26"/>
  <c r="J71" i="26"/>
  <c r="I71" i="26"/>
  <c r="K165" i="2" s="1"/>
  <c r="H71" i="26"/>
  <c r="G71" i="26"/>
  <c r="F71" i="26"/>
  <c r="E71" i="26"/>
  <c r="D71" i="26"/>
  <c r="B71" i="26"/>
  <c r="A71" i="26"/>
  <c r="S70" i="26"/>
  <c r="U164" i="2" s="1"/>
  <c r="R70" i="26"/>
  <c r="Q70" i="26"/>
  <c r="P70" i="26"/>
  <c r="O70" i="26"/>
  <c r="Q164" i="2" s="1"/>
  <c r="N70" i="26"/>
  <c r="M70" i="26"/>
  <c r="L70" i="26"/>
  <c r="K70" i="26"/>
  <c r="M164" i="2" s="1"/>
  <c r="J70" i="26"/>
  <c r="I70" i="26"/>
  <c r="H70" i="26"/>
  <c r="G70" i="26"/>
  <c r="I164" i="2" s="1"/>
  <c r="F70" i="26"/>
  <c r="E70" i="26"/>
  <c r="D70" i="26"/>
  <c r="B70" i="26"/>
  <c r="A70" i="26"/>
  <c r="S69" i="26"/>
  <c r="R69" i="26"/>
  <c r="Q69" i="26"/>
  <c r="S163" i="2" s="1"/>
  <c r="P69" i="26"/>
  <c r="O69" i="26"/>
  <c r="N69" i="26"/>
  <c r="M69" i="26"/>
  <c r="O163" i="2" s="1"/>
  <c r="L69" i="26"/>
  <c r="K69" i="26"/>
  <c r="J69" i="26"/>
  <c r="I69" i="26"/>
  <c r="K163" i="2" s="1"/>
  <c r="H69" i="26"/>
  <c r="G69" i="26"/>
  <c r="F69" i="26"/>
  <c r="E69" i="26"/>
  <c r="D69" i="26"/>
  <c r="B69" i="26"/>
  <c r="A69" i="26"/>
  <c r="S68" i="26"/>
  <c r="U162" i="2" s="1"/>
  <c r="R68" i="26"/>
  <c r="Q68" i="26"/>
  <c r="P68" i="26"/>
  <c r="O68" i="26"/>
  <c r="Q162" i="2" s="1"/>
  <c r="N68" i="26"/>
  <c r="M68" i="26"/>
  <c r="L68" i="26"/>
  <c r="K68" i="26"/>
  <c r="M162" i="2" s="1"/>
  <c r="J68" i="26"/>
  <c r="I68" i="26"/>
  <c r="H68" i="26"/>
  <c r="G68" i="26"/>
  <c r="I162" i="2" s="1"/>
  <c r="F68" i="26"/>
  <c r="E68" i="26"/>
  <c r="D68" i="26"/>
  <c r="B68" i="26"/>
  <c r="A68" i="26"/>
  <c r="S67" i="26"/>
  <c r="R67" i="26"/>
  <c r="Q67" i="26"/>
  <c r="S161" i="2" s="1"/>
  <c r="P67" i="26"/>
  <c r="O67" i="26"/>
  <c r="N67" i="26"/>
  <c r="M67" i="26"/>
  <c r="O161" i="2" s="1"/>
  <c r="L67" i="26"/>
  <c r="K67" i="26"/>
  <c r="J67" i="26"/>
  <c r="I67" i="26"/>
  <c r="K161" i="2" s="1"/>
  <c r="H67" i="26"/>
  <c r="G67" i="26"/>
  <c r="F67" i="26"/>
  <c r="E67" i="26"/>
  <c r="D67" i="26"/>
  <c r="B67" i="26"/>
  <c r="A67" i="26"/>
  <c r="S66" i="26"/>
  <c r="U160" i="2" s="1"/>
  <c r="R66" i="26"/>
  <c r="Q66" i="26"/>
  <c r="P66" i="26"/>
  <c r="O66" i="26"/>
  <c r="Q160" i="2" s="1"/>
  <c r="N66" i="26"/>
  <c r="M66" i="26"/>
  <c r="L66" i="26"/>
  <c r="K66" i="26"/>
  <c r="M160" i="2" s="1"/>
  <c r="J66" i="26"/>
  <c r="I66" i="26"/>
  <c r="H66" i="26"/>
  <c r="G66" i="26"/>
  <c r="I160" i="2" s="1"/>
  <c r="F66" i="26"/>
  <c r="E66" i="26"/>
  <c r="D66" i="26"/>
  <c r="B66" i="26"/>
  <c r="A66" i="26"/>
  <c r="S65" i="26"/>
  <c r="R65" i="26"/>
  <c r="Q65" i="26"/>
  <c r="S159" i="2" s="1"/>
  <c r="P65" i="26"/>
  <c r="O65" i="26"/>
  <c r="N65" i="26"/>
  <c r="M65" i="26"/>
  <c r="O159" i="2" s="1"/>
  <c r="L65" i="26"/>
  <c r="K65" i="26"/>
  <c r="J65" i="26"/>
  <c r="I65" i="26"/>
  <c r="K159" i="2" s="1"/>
  <c r="H65" i="26"/>
  <c r="G65" i="26"/>
  <c r="F65" i="26"/>
  <c r="E65" i="26"/>
  <c r="D65" i="26"/>
  <c r="B65" i="26"/>
  <c r="A65" i="26"/>
  <c r="S64" i="26"/>
  <c r="U158" i="2" s="1"/>
  <c r="R64" i="26"/>
  <c r="Q64" i="26"/>
  <c r="P64" i="26"/>
  <c r="O64" i="26"/>
  <c r="Q158" i="2" s="1"/>
  <c r="N64" i="26"/>
  <c r="M64" i="26"/>
  <c r="L64" i="26"/>
  <c r="K64" i="26"/>
  <c r="M158" i="2" s="1"/>
  <c r="J64" i="26"/>
  <c r="I64" i="26"/>
  <c r="H64" i="26"/>
  <c r="G64" i="26"/>
  <c r="I158" i="2" s="1"/>
  <c r="F64" i="26"/>
  <c r="E64" i="26"/>
  <c r="D64" i="26"/>
  <c r="B64" i="26"/>
  <c r="A64" i="26"/>
  <c r="S63" i="26"/>
  <c r="R63" i="26"/>
  <c r="Q63" i="26"/>
  <c r="S157" i="2" s="1"/>
  <c r="P63" i="26"/>
  <c r="O63" i="26"/>
  <c r="N63" i="26"/>
  <c r="M63" i="26"/>
  <c r="O157" i="2" s="1"/>
  <c r="L63" i="26"/>
  <c r="K63" i="26"/>
  <c r="J63" i="26"/>
  <c r="I63" i="26"/>
  <c r="K157" i="2" s="1"/>
  <c r="H63" i="26"/>
  <c r="G63" i="26"/>
  <c r="F63" i="26"/>
  <c r="E63" i="26"/>
  <c r="D63" i="26"/>
  <c r="B63" i="26"/>
  <c r="A63" i="26"/>
  <c r="S62" i="26"/>
  <c r="U156" i="2" s="1"/>
  <c r="R62" i="26"/>
  <c r="Q62" i="26"/>
  <c r="P62" i="26"/>
  <c r="O62" i="26"/>
  <c r="Q156" i="2" s="1"/>
  <c r="N62" i="26"/>
  <c r="M62" i="26"/>
  <c r="L62" i="26"/>
  <c r="K62" i="26"/>
  <c r="M156" i="2" s="1"/>
  <c r="J62" i="26"/>
  <c r="I62" i="26"/>
  <c r="H62" i="26"/>
  <c r="G62" i="26"/>
  <c r="I156" i="2" s="1"/>
  <c r="F62" i="26"/>
  <c r="E62" i="26"/>
  <c r="D62" i="26"/>
  <c r="B62" i="26"/>
  <c r="A62" i="26"/>
  <c r="S61" i="26"/>
  <c r="R61" i="26"/>
  <c r="Q61" i="26"/>
  <c r="S155" i="2" s="1"/>
  <c r="P61" i="26"/>
  <c r="O61" i="26"/>
  <c r="N61" i="26"/>
  <c r="M61" i="26"/>
  <c r="O155" i="2" s="1"/>
  <c r="L61" i="26"/>
  <c r="K61" i="26"/>
  <c r="J61" i="26"/>
  <c r="I61" i="26"/>
  <c r="K155" i="2" s="1"/>
  <c r="H61" i="26"/>
  <c r="G61" i="26"/>
  <c r="F61" i="26"/>
  <c r="E61" i="26"/>
  <c r="D61" i="26"/>
  <c r="B61" i="26"/>
  <c r="A61" i="26"/>
  <c r="S60" i="26"/>
  <c r="U154" i="2" s="1"/>
  <c r="R60" i="26"/>
  <c r="Q60" i="26"/>
  <c r="P60" i="26"/>
  <c r="O60" i="26"/>
  <c r="Q154" i="2" s="1"/>
  <c r="N60" i="26"/>
  <c r="M60" i="26"/>
  <c r="L60" i="26"/>
  <c r="K60" i="26"/>
  <c r="M154" i="2" s="1"/>
  <c r="J60" i="26"/>
  <c r="I60" i="26"/>
  <c r="H60" i="26"/>
  <c r="G60" i="26"/>
  <c r="I154" i="2" s="1"/>
  <c r="F60" i="26"/>
  <c r="E60" i="26"/>
  <c r="D60" i="26"/>
  <c r="B60" i="26"/>
  <c r="A60" i="26"/>
  <c r="S59" i="26"/>
  <c r="R59" i="26"/>
  <c r="Q59" i="26"/>
  <c r="S153" i="2" s="1"/>
  <c r="P59" i="26"/>
  <c r="O59" i="26"/>
  <c r="N59" i="26"/>
  <c r="M59" i="26"/>
  <c r="O153" i="2" s="1"/>
  <c r="L59" i="26"/>
  <c r="K59" i="26"/>
  <c r="J59" i="26"/>
  <c r="I59" i="26"/>
  <c r="K153" i="2" s="1"/>
  <c r="H59" i="26"/>
  <c r="G59" i="26"/>
  <c r="F59" i="26"/>
  <c r="E59" i="26"/>
  <c r="D59" i="26"/>
  <c r="B59" i="26"/>
  <c r="A59" i="26"/>
  <c r="S58" i="26"/>
  <c r="U152" i="2" s="1"/>
  <c r="R58" i="26"/>
  <c r="Q58" i="26"/>
  <c r="P58" i="26"/>
  <c r="O58" i="26"/>
  <c r="Q152" i="2" s="1"/>
  <c r="N58" i="26"/>
  <c r="M58" i="26"/>
  <c r="L58" i="26"/>
  <c r="K58" i="26"/>
  <c r="M152" i="2" s="1"/>
  <c r="J58" i="26"/>
  <c r="I58" i="26"/>
  <c r="H58" i="26"/>
  <c r="G58" i="26"/>
  <c r="I152" i="2" s="1"/>
  <c r="F58" i="26"/>
  <c r="E58" i="26"/>
  <c r="D58" i="26"/>
  <c r="B58" i="26"/>
  <c r="A58" i="26"/>
  <c r="S57" i="26"/>
  <c r="R57" i="26"/>
  <c r="Q57" i="26"/>
  <c r="S151" i="2" s="1"/>
  <c r="P57" i="26"/>
  <c r="O57" i="26"/>
  <c r="N57" i="26"/>
  <c r="M57" i="26"/>
  <c r="O151" i="2" s="1"/>
  <c r="L57" i="26"/>
  <c r="K57" i="26"/>
  <c r="J57" i="26"/>
  <c r="I57" i="26"/>
  <c r="K151" i="2" s="1"/>
  <c r="H57" i="26"/>
  <c r="G57" i="26"/>
  <c r="F57" i="26"/>
  <c r="E57" i="26"/>
  <c r="D57" i="26"/>
  <c r="B57" i="26"/>
  <c r="A57" i="26"/>
  <c r="S56" i="26"/>
  <c r="U150" i="2" s="1"/>
  <c r="R56" i="26"/>
  <c r="Q56" i="26"/>
  <c r="P56" i="26"/>
  <c r="O56" i="26"/>
  <c r="Q150" i="2" s="1"/>
  <c r="N56" i="26"/>
  <c r="M56" i="26"/>
  <c r="L56" i="26"/>
  <c r="K56" i="26"/>
  <c r="M150" i="2" s="1"/>
  <c r="J56" i="26"/>
  <c r="I56" i="26"/>
  <c r="H56" i="26"/>
  <c r="G56" i="26"/>
  <c r="I150" i="2" s="1"/>
  <c r="F56" i="26"/>
  <c r="E56" i="26"/>
  <c r="D56" i="26"/>
  <c r="B56" i="26"/>
  <c r="A56" i="26"/>
  <c r="S55" i="26"/>
  <c r="R55" i="26"/>
  <c r="Q55" i="26"/>
  <c r="S149" i="2" s="1"/>
  <c r="P55" i="26"/>
  <c r="O55" i="26"/>
  <c r="N55" i="26"/>
  <c r="M55" i="26"/>
  <c r="O149" i="2" s="1"/>
  <c r="L55" i="26"/>
  <c r="K55" i="26"/>
  <c r="J55" i="26"/>
  <c r="I55" i="26"/>
  <c r="K149" i="2" s="1"/>
  <c r="H55" i="26"/>
  <c r="G55" i="26"/>
  <c r="F55" i="26"/>
  <c r="E55" i="26"/>
  <c r="D55" i="26"/>
  <c r="B55" i="26"/>
  <c r="A55" i="26"/>
  <c r="S54" i="26"/>
  <c r="U148" i="2" s="1"/>
  <c r="R54" i="26"/>
  <c r="Q54" i="26"/>
  <c r="P54" i="26"/>
  <c r="O54" i="26"/>
  <c r="Q148" i="2" s="1"/>
  <c r="N54" i="26"/>
  <c r="M54" i="26"/>
  <c r="L54" i="26"/>
  <c r="K54" i="26"/>
  <c r="M148" i="2" s="1"/>
  <c r="J54" i="26"/>
  <c r="I54" i="26"/>
  <c r="H54" i="26"/>
  <c r="G54" i="26"/>
  <c r="I148" i="2" s="1"/>
  <c r="F54" i="26"/>
  <c r="E54" i="26"/>
  <c r="D54" i="26"/>
  <c r="B54" i="26"/>
  <c r="A54" i="26"/>
  <c r="S53" i="26"/>
  <c r="R53" i="26"/>
  <c r="Q53" i="26"/>
  <c r="S147" i="2" s="1"/>
  <c r="P53" i="26"/>
  <c r="O53" i="26"/>
  <c r="N53" i="26"/>
  <c r="M53" i="26"/>
  <c r="O147" i="2" s="1"/>
  <c r="L53" i="26"/>
  <c r="K53" i="26"/>
  <c r="J53" i="26"/>
  <c r="I53" i="26"/>
  <c r="K147" i="2" s="1"/>
  <c r="H53" i="26"/>
  <c r="G53" i="26"/>
  <c r="F53" i="26"/>
  <c r="E53" i="26"/>
  <c r="D53" i="26"/>
  <c r="B53" i="26"/>
  <c r="A53" i="26"/>
  <c r="S52" i="26"/>
  <c r="U146" i="2" s="1"/>
  <c r="R52" i="26"/>
  <c r="Q52" i="26"/>
  <c r="P52" i="26"/>
  <c r="O52" i="26"/>
  <c r="Q146" i="2" s="1"/>
  <c r="N52" i="26"/>
  <c r="M52" i="26"/>
  <c r="L52" i="26"/>
  <c r="K52" i="26"/>
  <c r="M146" i="2" s="1"/>
  <c r="J52" i="26"/>
  <c r="I52" i="26"/>
  <c r="H52" i="26"/>
  <c r="G52" i="26"/>
  <c r="I146" i="2" s="1"/>
  <c r="F52" i="26"/>
  <c r="E52" i="26"/>
  <c r="D52" i="26"/>
  <c r="B52" i="26"/>
  <c r="A52" i="26"/>
  <c r="S51" i="26"/>
  <c r="R51" i="26"/>
  <c r="Q51" i="26"/>
  <c r="S145" i="2" s="1"/>
  <c r="P51" i="26"/>
  <c r="O51" i="26"/>
  <c r="N51" i="26"/>
  <c r="M51" i="26"/>
  <c r="O145" i="2" s="1"/>
  <c r="L51" i="26"/>
  <c r="K51" i="26"/>
  <c r="J51" i="26"/>
  <c r="I51" i="26"/>
  <c r="K145" i="2" s="1"/>
  <c r="H51" i="26"/>
  <c r="G51" i="26"/>
  <c r="F51" i="26"/>
  <c r="E51" i="26"/>
  <c r="D51" i="26"/>
  <c r="B51" i="26"/>
  <c r="A51" i="26"/>
  <c r="S50" i="26"/>
  <c r="U144" i="2" s="1"/>
  <c r="R50" i="26"/>
  <c r="Q50" i="26"/>
  <c r="P50" i="26"/>
  <c r="O50" i="26"/>
  <c r="Q144" i="2" s="1"/>
  <c r="N50" i="26"/>
  <c r="M50" i="26"/>
  <c r="L50" i="26"/>
  <c r="K50" i="26"/>
  <c r="M144" i="2" s="1"/>
  <c r="J50" i="26"/>
  <c r="I50" i="26"/>
  <c r="H50" i="26"/>
  <c r="G50" i="26"/>
  <c r="I144" i="2" s="1"/>
  <c r="F50" i="26"/>
  <c r="E50" i="26"/>
  <c r="D50" i="26"/>
  <c r="B50" i="26"/>
  <c r="A50" i="26"/>
  <c r="S49" i="26"/>
  <c r="R49" i="26"/>
  <c r="Q49" i="26"/>
  <c r="S143" i="2" s="1"/>
  <c r="P49" i="26"/>
  <c r="O49" i="26"/>
  <c r="N49" i="26"/>
  <c r="M49" i="26"/>
  <c r="O143" i="2" s="1"/>
  <c r="L49" i="26"/>
  <c r="K49" i="26"/>
  <c r="J49" i="26"/>
  <c r="I49" i="26"/>
  <c r="K143" i="2" s="1"/>
  <c r="H49" i="26"/>
  <c r="G49" i="26"/>
  <c r="F49" i="26"/>
  <c r="E49" i="26"/>
  <c r="D49" i="26"/>
  <c r="B49" i="26"/>
  <c r="A49" i="26"/>
  <c r="S48" i="26"/>
  <c r="U142" i="2" s="1"/>
  <c r="R48" i="26"/>
  <c r="Q48" i="26"/>
  <c r="P48" i="26"/>
  <c r="O48" i="26"/>
  <c r="Q142" i="2" s="1"/>
  <c r="N48" i="26"/>
  <c r="M48" i="26"/>
  <c r="L48" i="26"/>
  <c r="K48" i="26"/>
  <c r="M142" i="2" s="1"/>
  <c r="J48" i="26"/>
  <c r="I48" i="26"/>
  <c r="H48" i="26"/>
  <c r="G48" i="26"/>
  <c r="I142" i="2" s="1"/>
  <c r="F48" i="26"/>
  <c r="E48" i="26"/>
  <c r="D48" i="26"/>
  <c r="B48" i="26"/>
  <c r="A48" i="26"/>
  <c r="S47" i="26"/>
  <c r="R47" i="26"/>
  <c r="Q47" i="26"/>
  <c r="S141" i="2" s="1"/>
  <c r="P47" i="26"/>
  <c r="O47" i="26"/>
  <c r="N47" i="26"/>
  <c r="M47" i="26"/>
  <c r="O141" i="2" s="1"/>
  <c r="L47" i="26"/>
  <c r="K47" i="26"/>
  <c r="J47" i="26"/>
  <c r="I47" i="26"/>
  <c r="K141" i="2" s="1"/>
  <c r="H47" i="26"/>
  <c r="G47" i="26"/>
  <c r="F47" i="26"/>
  <c r="E47" i="26"/>
  <c r="D47" i="26"/>
  <c r="B47" i="26"/>
  <c r="A47" i="26"/>
  <c r="S46" i="26"/>
  <c r="U140" i="2" s="1"/>
  <c r="R46" i="26"/>
  <c r="Q46" i="26"/>
  <c r="P46" i="26"/>
  <c r="O46" i="26"/>
  <c r="Q140" i="2" s="1"/>
  <c r="N46" i="26"/>
  <c r="M46" i="26"/>
  <c r="L46" i="26"/>
  <c r="K46" i="26"/>
  <c r="M140" i="2" s="1"/>
  <c r="J46" i="26"/>
  <c r="I46" i="26"/>
  <c r="H46" i="26"/>
  <c r="G46" i="26"/>
  <c r="I140" i="2" s="1"/>
  <c r="F46" i="26"/>
  <c r="E46" i="26"/>
  <c r="D46" i="26"/>
  <c r="B46" i="26"/>
  <c r="A46" i="26"/>
  <c r="S45" i="26"/>
  <c r="R45" i="26"/>
  <c r="Q45" i="26"/>
  <c r="S139" i="2" s="1"/>
  <c r="P45" i="26"/>
  <c r="O45" i="26"/>
  <c r="N45" i="26"/>
  <c r="M45" i="26"/>
  <c r="O139" i="2" s="1"/>
  <c r="L45" i="26"/>
  <c r="K45" i="26"/>
  <c r="J45" i="26"/>
  <c r="I45" i="26"/>
  <c r="K139" i="2" s="1"/>
  <c r="H45" i="26"/>
  <c r="G45" i="26"/>
  <c r="F45" i="26"/>
  <c r="E45" i="26"/>
  <c r="D45" i="26"/>
  <c r="B45" i="26"/>
  <c r="A45" i="26"/>
  <c r="S44" i="26"/>
  <c r="U138" i="2" s="1"/>
  <c r="R44" i="26"/>
  <c r="Q44" i="26"/>
  <c r="P44" i="26"/>
  <c r="O44" i="26"/>
  <c r="Q138" i="2" s="1"/>
  <c r="N44" i="26"/>
  <c r="M44" i="26"/>
  <c r="L44" i="26"/>
  <c r="K44" i="26"/>
  <c r="M138" i="2" s="1"/>
  <c r="J44" i="26"/>
  <c r="I44" i="26"/>
  <c r="H44" i="26"/>
  <c r="G44" i="26"/>
  <c r="I138" i="2" s="1"/>
  <c r="F44" i="26"/>
  <c r="E44" i="26"/>
  <c r="D44" i="26"/>
  <c r="B44" i="26"/>
  <c r="A44" i="26"/>
  <c r="S43" i="26"/>
  <c r="R43" i="26"/>
  <c r="Q43" i="26"/>
  <c r="S137" i="2" s="1"/>
  <c r="P43" i="26"/>
  <c r="O43" i="26"/>
  <c r="N43" i="26"/>
  <c r="M43" i="26"/>
  <c r="O137" i="2" s="1"/>
  <c r="L43" i="26"/>
  <c r="K43" i="26"/>
  <c r="J43" i="26"/>
  <c r="I43" i="26"/>
  <c r="K137" i="2" s="1"/>
  <c r="H43" i="26"/>
  <c r="G43" i="26"/>
  <c r="F43" i="26"/>
  <c r="E43" i="26"/>
  <c r="D43" i="26"/>
  <c r="B43" i="26"/>
  <c r="A43" i="26"/>
  <c r="S42" i="26"/>
  <c r="U136" i="2" s="1"/>
  <c r="R42" i="26"/>
  <c r="Q42" i="26"/>
  <c r="P42" i="26"/>
  <c r="O42" i="26"/>
  <c r="Q136" i="2" s="1"/>
  <c r="N42" i="26"/>
  <c r="M42" i="26"/>
  <c r="L42" i="26"/>
  <c r="K42" i="26"/>
  <c r="M136" i="2" s="1"/>
  <c r="J42" i="26"/>
  <c r="I42" i="26"/>
  <c r="H42" i="26"/>
  <c r="G42" i="26"/>
  <c r="I136" i="2" s="1"/>
  <c r="F42" i="26"/>
  <c r="E42" i="26"/>
  <c r="D42" i="26"/>
  <c r="B42" i="26"/>
  <c r="A42" i="26"/>
  <c r="S41" i="26"/>
  <c r="R41" i="26"/>
  <c r="Q41" i="26"/>
  <c r="S135" i="2" s="1"/>
  <c r="P41" i="26"/>
  <c r="O41" i="26"/>
  <c r="N41" i="26"/>
  <c r="M41" i="26"/>
  <c r="O135" i="2" s="1"/>
  <c r="L41" i="26"/>
  <c r="K41" i="26"/>
  <c r="J41" i="26"/>
  <c r="I41" i="26"/>
  <c r="K135" i="2" s="1"/>
  <c r="H41" i="26"/>
  <c r="G41" i="26"/>
  <c r="F41" i="26"/>
  <c r="E41" i="26"/>
  <c r="D41" i="26"/>
  <c r="B41" i="26"/>
  <c r="A41" i="26"/>
  <c r="S40" i="26"/>
  <c r="U134" i="2" s="1"/>
  <c r="R40" i="26"/>
  <c r="Q40" i="26"/>
  <c r="P40" i="26"/>
  <c r="O40" i="26"/>
  <c r="Q134" i="2" s="1"/>
  <c r="N40" i="26"/>
  <c r="M40" i="26"/>
  <c r="L40" i="26"/>
  <c r="K40" i="26"/>
  <c r="M134" i="2" s="1"/>
  <c r="J40" i="26"/>
  <c r="I40" i="26"/>
  <c r="H40" i="26"/>
  <c r="G40" i="26"/>
  <c r="I134" i="2" s="1"/>
  <c r="F40" i="26"/>
  <c r="E40" i="26"/>
  <c r="D40" i="26"/>
  <c r="B40" i="26"/>
  <c r="A40" i="26"/>
  <c r="S39" i="26"/>
  <c r="R39" i="26"/>
  <c r="Q39" i="26"/>
  <c r="S133" i="2" s="1"/>
  <c r="P39" i="26"/>
  <c r="O39" i="26"/>
  <c r="N39" i="26"/>
  <c r="M39" i="26"/>
  <c r="O133" i="2" s="1"/>
  <c r="L39" i="26"/>
  <c r="K39" i="26"/>
  <c r="J39" i="26"/>
  <c r="I39" i="26"/>
  <c r="K133" i="2" s="1"/>
  <c r="H39" i="26"/>
  <c r="G39" i="26"/>
  <c r="F39" i="26"/>
  <c r="E39" i="26"/>
  <c r="D39" i="26"/>
  <c r="B39" i="26"/>
  <c r="A39" i="26"/>
  <c r="S38" i="26"/>
  <c r="U132" i="2" s="1"/>
  <c r="R38" i="26"/>
  <c r="Q38" i="26"/>
  <c r="P38" i="26"/>
  <c r="O38" i="26"/>
  <c r="Q132" i="2" s="1"/>
  <c r="N38" i="26"/>
  <c r="M38" i="26"/>
  <c r="L38" i="26"/>
  <c r="K38" i="26"/>
  <c r="M132" i="2" s="1"/>
  <c r="J38" i="26"/>
  <c r="I38" i="26"/>
  <c r="H38" i="26"/>
  <c r="G38" i="26"/>
  <c r="I132" i="2" s="1"/>
  <c r="F38" i="26"/>
  <c r="E38" i="26"/>
  <c r="D38" i="26"/>
  <c r="B38" i="26"/>
  <c r="A38" i="26"/>
  <c r="S37" i="26"/>
  <c r="R37" i="26"/>
  <c r="Q37" i="26"/>
  <c r="S131" i="2" s="1"/>
  <c r="P37" i="26"/>
  <c r="O37" i="26"/>
  <c r="N37" i="26"/>
  <c r="M37" i="26"/>
  <c r="O131" i="2" s="1"/>
  <c r="L37" i="26"/>
  <c r="K37" i="26"/>
  <c r="J37" i="26"/>
  <c r="I37" i="26"/>
  <c r="K131" i="2" s="1"/>
  <c r="H37" i="26"/>
  <c r="G37" i="26"/>
  <c r="F37" i="26"/>
  <c r="E37" i="26"/>
  <c r="D37" i="26"/>
  <c r="B37" i="26"/>
  <c r="A37" i="26"/>
  <c r="S36" i="26"/>
  <c r="U130" i="2" s="1"/>
  <c r="R36" i="26"/>
  <c r="Q36" i="26"/>
  <c r="P36" i="26"/>
  <c r="O36" i="26"/>
  <c r="Q130" i="2" s="1"/>
  <c r="N36" i="26"/>
  <c r="M36" i="26"/>
  <c r="L36" i="26"/>
  <c r="K36" i="26"/>
  <c r="M130" i="2" s="1"/>
  <c r="J36" i="26"/>
  <c r="I36" i="26"/>
  <c r="H36" i="26"/>
  <c r="G36" i="26"/>
  <c r="I130" i="2" s="1"/>
  <c r="F36" i="26"/>
  <c r="E36" i="26"/>
  <c r="D36" i="26"/>
  <c r="B36" i="26"/>
  <c r="A36" i="26"/>
  <c r="S35" i="26"/>
  <c r="R35" i="26"/>
  <c r="Q35" i="26"/>
  <c r="S129" i="2" s="1"/>
  <c r="P35" i="26"/>
  <c r="O35" i="26"/>
  <c r="N35" i="26"/>
  <c r="M35" i="26"/>
  <c r="O129" i="2" s="1"/>
  <c r="L35" i="26"/>
  <c r="K35" i="26"/>
  <c r="J35" i="26"/>
  <c r="I35" i="26"/>
  <c r="K129" i="2" s="1"/>
  <c r="H35" i="26"/>
  <c r="G35" i="26"/>
  <c r="F35" i="26"/>
  <c r="E35" i="26"/>
  <c r="D35" i="26"/>
  <c r="B35" i="26"/>
  <c r="A35" i="26"/>
  <c r="S34" i="26"/>
  <c r="U128" i="2" s="1"/>
  <c r="R34" i="26"/>
  <c r="Q34" i="26"/>
  <c r="P34" i="26"/>
  <c r="O34" i="26"/>
  <c r="Q128" i="2" s="1"/>
  <c r="N34" i="26"/>
  <c r="M34" i="26"/>
  <c r="L34" i="26"/>
  <c r="K34" i="26"/>
  <c r="M128" i="2" s="1"/>
  <c r="J34" i="26"/>
  <c r="I34" i="26"/>
  <c r="H34" i="26"/>
  <c r="G34" i="26"/>
  <c r="I128" i="2" s="1"/>
  <c r="F34" i="26"/>
  <c r="E34" i="26"/>
  <c r="D34" i="26"/>
  <c r="B34" i="26"/>
  <c r="A34" i="26"/>
  <c r="S33" i="26"/>
  <c r="R33" i="26"/>
  <c r="Q33" i="26"/>
  <c r="S127" i="2" s="1"/>
  <c r="P33" i="26"/>
  <c r="O33" i="26"/>
  <c r="N33" i="26"/>
  <c r="M33" i="26"/>
  <c r="O127" i="2" s="1"/>
  <c r="L33" i="26"/>
  <c r="K33" i="26"/>
  <c r="J33" i="26"/>
  <c r="I33" i="26"/>
  <c r="K127" i="2" s="1"/>
  <c r="H33" i="26"/>
  <c r="G33" i="26"/>
  <c r="F33" i="26"/>
  <c r="E33" i="26"/>
  <c r="D33" i="26"/>
  <c r="B33" i="26"/>
  <c r="A33" i="26"/>
  <c r="S32" i="26"/>
  <c r="U126" i="2" s="1"/>
  <c r="R32" i="26"/>
  <c r="Q32" i="26"/>
  <c r="P32" i="26"/>
  <c r="O32" i="26"/>
  <c r="Q126" i="2" s="1"/>
  <c r="N32" i="26"/>
  <c r="M32" i="26"/>
  <c r="L32" i="26"/>
  <c r="K32" i="26"/>
  <c r="M126" i="2" s="1"/>
  <c r="J32" i="26"/>
  <c r="I32" i="26"/>
  <c r="H32" i="26"/>
  <c r="G32" i="26"/>
  <c r="I126" i="2" s="1"/>
  <c r="F32" i="26"/>
  <c r="E32" i="26"/>
  <c r="D32" i="26"/>
  <c r="B32" i="26"/>
  <c r="A32" i="26"/>
  <c r="S31" i="26"/>
  <c r="R31" i="26"/>
  <c r="Q31" i="26"/>
  <c r="S125" i="2" s="1"/>
  <c r="P31" i="26"/>
  <c r="O31" i="26"/>
  <c r="N31" i="26"/>
  <c r="M31" i="26"/>
  <c r="O125" i="2" s="1"/>
  <c r="L31" i="26"/>
  <c r="K31" i="26"/>
  <c r="J31" i="26"/>
  <c r="I31" i="26"/>
  <c r="K125" i="2" s="1"/>
  <c r="H31" i="26"/>
  <c r="G31" i="26"/>
  <c r="F31" i="26"/>
  <c r="E31" i="26"/>
  <c r="D31" i="26"/>
  <c r="B31" i="26"/>
  <c r="A31" i="26"/>
  <c r="S30" i="26"/>
  <c r="U124" i="2" s="1"/>
  <c r="R30" i="26"/>
  <c r="Q30" i="26"/>
  <c r="P30" i="26"/>
  <c r="O30" i="26"/>
  <c r="Q124" i="2" s="1"/>
  <c r="N30" i="26"/>
  <c r="M30" i="26"/>
  <c r="L30" i="26"/>
  <c r="K30" i="26"/>
  <c r="M124" i="2" s="1"/>
  <c r="J30" i="26"/>
  <c r="I30" i="26"/>
  <c r="H30" i="26"/>
  <c r="G30" i="26"/>
  <c r="I124" i="2" s="1"/>
  <c r="F30" i="26"/>
  <c r="E30" i="26"/>
  <c r="D30" i="26"/>
  <c r="B30" i="26"/>
  <c r="A30" i="26"/>
  <c r="S29" i="26"/>
  <c r="R29" i="26"/>
  <c r="T123" i="2" s="1"/>
  <c r="Q29" i="26"/>
  <c r="S123" i="2" s="1"/>
  <c r="P29" i="26"/>
  <c r="O29" i="26"/>
  <c r="N29" i="26"/>
  <c r="P123" i="2" s="1"/>
  <c r="M29" i="26"/>
  <c r="O123" i="2" s="1"/>
  <c r="L29" i="26"/>
  <c r="K29" i="26"/>
  <c r="J29" i="26"/>
  <c r="L123" i="2" s="1"/>
  <c r="I29" i="26"/>
  <c r="K123" i="2" s="1"/>
  <c r="H29" i="26"/>
  <c r="G29" i="26"/>
  <c r="F29" i="26"/>
  <c r="H123" i="2" s="1"/>
  <c r="E29" i="26"/>
  <c r="D29" i="26"/>
  <c r="B29" i="26"/>
  <c r="A29" i="26"/>
  <c r="S28" i="26"/>
  <c r="U122" i="2" s="1"/>
  <c r="R28" i="26"/>
  <c r="Q28" i="26"/>
  <c r="P28" i="26"/>
  <c r="R122" i="2" s="1"/>
  <c r="O28" i="26"/>
  <c r="Q122" i="2" s="1"/>
  <c r="N28" i="26"/>
  <c r="M28" i="26"/>
  <c r="L28" i="26"/>
  <c r="N122" i="2" s="1"/>
  <c r="K28" i="26"/>
  <c r="M122" i="2" s="1"/>
  <c r="J28" i="26"/>
  <c r="I28" i="26"/>
  <c r="H28" i="26"/>
  <c r="J122" i="2" s="1"/>
  <c r="G28" i="26"/>
  <c r="I122" i="2" s="1"/>
  <c r="F28" i="26"/>
  <c r="E28" i="26"/>
  <c r="D28" i="26"/>
  <c r="B28" i="26"/>
  <c r="A28" i="26"/>
  <c r="S27" i="26"/>
  <c r="R27" i="26"/>
  <c r="Q27" i="26"/>
  <c r="S121" i="2" s="1"/>
  <c r="P27" i="26"/>
  <c r="O27" i="26"/>
  <c r="N27" i="26"/>
  <c r="P121" i="2" s="1"/>
  <c r="M27" i="26"/>
  <c r="O121" i="2" s="1"/>
  <c r="L27" i="26"/>
  <c r="K27" i="26"/>
  <c r="J27" i="26"/>
  <c r="L121" i="2" s="1"/>
  <c r="I27" i="26"/>
  <c r="K121" i="2" s="1"/>
  <c r="H27" i="26"/>
  <c r="G27" i="26"/>
  <c r="F27" i="26"/>
  <c r="E27" i="26"/>
  <c r="D27" i="26"/>
  <c r="B27" i="26"/>
  <c r="A27" i="26"/>
  <c r="S26" i="26"/>
  <c r="U120" i="2" s="1"/>
  <c r="R26" i="26"/>
  <c r="Q26" i="26"/>
  <c r="P26" i="26"/>
  <c r="R120" i="2" s="1"/>
  <c r="O26" i="26"/>
  <c r="Q120" i="2" s="1"/>
  <c r="N26" i="26"/>
  <c r="M26" i="26"/>
  <c r="L26" i="26"/>
  <c r="N120" i="2" s="1"/>
  <c r="K26" i="26"/>
  <c r="M120" i="2" s="1"/>
  <c r="J26" i="26"/>
  <c r="I26" i="26"/>
  <c r="H26" i="26"/>
  <c r="J120" i="2" s="1"/>
  <c r="G26" i="26"/>
  <c r="I120" i="2" s="1"/>
  <c r="F26" i="26"/>
  <c r="E26" i="26"/>
  <c r="D26" i="26"/>
  <c r="B26" i="26"/>
  <c r="A26" i="26"/>
  <c r="S25" i="26"/>
  <c r="R25" i="26"/>
  <c r="T119" i="2" s="1"/>
  <c r="Q25" i="26"/>
  <c r="S119" i="2" s="1"/>
  <c r="P25" i="26"/>
  <c r="O25" i="26"/>
  <c r="N25" i="26"/>
  <c r="P119" i="2" s="1"/>
  <c r="M25" i="26"/>
  <c r="O119" i="2" s="1"/>
  <c r="L25" i="26"/>
  <c r="K25" i="26"/>
  <c r="J25" i="26"/>
  <c r="L119" i="2" s="1"/>
  <c r="I25" i="26"/>
  <c r="K119" i="2" s="1"/>
  <c r="H25" i="26"/>
  <c r="G25" i="26"/>
  <c r="F25" i="26"/>
  <c r="H119" i="2" s="1"/>
  <c r="E25" i="26"/>
  <c r="D25" i="26"/>
  <c r="B25" i="26"/>
  <c r="A25" i="26"/>
  <c r="S24" i="26"/>
  <c r="U118" i="2" s="1"/>
  <c r="R24" i="26"/>
  <c r="Q24" i="26"/>
  <c r="P24" i="26"/>
  <c r="R118" i="2" s="1"/>
  <c r="O24" i="26"/>
  <c r="Q118" i="2" s="1"/>
  <c r="N24" i="26"/>
  <c r="M24" i="26"/>
  <c r="L24" i="26"/>
  <c r="N118" i="2" s="1"/>
  <c r="K24" i="26"/>
  <c r="M118" i="2" s="1"/>
  <c r="J24" i="26"/>
  <c r="I24" i="26"/>
  <c r="H24" i="26"/>
  <c r="J118" i="2" s="1"/>
  <c r="G24" i="26"/>
  <c r="I118" i="2" s="1"/>
  <c r="F24" i="26"/>
  <c r="E24" i="26"/>
  <c r="D24" i="26"/>
  <c r="B24" i="26"/>
  <c r="A24" i="26"/>
  <c r="S23" i="26"/>
  <c r="R23" i="26"/>
  <c r="T117" i="2" s="1"/>
  <c r="Q23" i="26"/>
  <c r="S117" i="2" s="1"/>
  <c r="P23" i="26"/>
  <c r="O23" i="26"/>
  <c r="N23" i="26"/>
  <c r="M23" i="26"/>
  <c r="O117" i="2" s="1"/>
  <c r="L23" i="26"/>
  <c r="K23" i="26"/>
  <c r="J23" i="26"/>
  <c r="I23" i="26"/>
  <c r="K117" i="2" s="1"/>
  <c r="H23" i="26"/>
  <c r="G23" i="26"/>
  <c r="F23" i="26"/>
  <c r="H117" i="2" s="1"/>
  <c r="E23" i="26"/>
  <c r="D23" i="26"/>
  <c r="B23" i="26"/>
  <c r="A23" i="26"/>
  <c r="S22" i="26"/>
  <c r="U116" i="2" s="1"/>
  <c r="R22" i="26"/>
  <c r="Q22" i="26"/>
  <c r="P22" i="26"/>
  <c r="O22" i="26"/>
  <c r="Q116" i="2" s="1"/>
  <c r="N22" i="26"/>
  <c r="M22" i="26"/>
  <c r="L22" i="26"/>
  <c r="K22" i="26"/>
  <c r="M116" i="2" s="1"/>
  <c r="J22" i="26"/>
  <c r="I22" i="26"/>
  <c r="H22" i="26"/>
  <c r="G22" i="26"/>
  <c r="I116" i="2" s="1"/>
  <c r="F22" i="26"/>
  <c r="E22" i="26"/>
  <c r="D22" i="26"/>
  <c r="B22" i="26"/>
  <c r="A22" i="26"/>
  <c r="S21" i="26"/>
  <c r="R21" i="26"/>
  <c r="T115" i="2" s="1"/>
  <c r="Q21" i="26"/>
  <c r="S115" i="2" s="1"/>
  <c r="P21" i="26"/>
  <c r="O21" i="26"/>
  <c r="N21" i="26"/>
  <c r="P115" i="2" s="1"/>
  <c r="M21" i="26"/>
  <c r="O115" i="2" s="1"/>
  <c r="L21" i="26"/>
  <c r="K21" i="26"/>
  <c r="J21" i="26"/>
  <c r="L115" i="2" s="1"/>
  <c r="I21" i="26"/>
  <c r="K115" i="2" s="1"/>
  <c r="H21" i="26"/>
  <c r="G21" i="26"/>
  <c r="F21" i="26"/>
  <c r="H115" i="2" s="1"/>
  <c r="E21" i="26"/>
  <c r="D21" i="26"/>
  <c r="B21" i="26"/>
  <c r="A21" i="26"/>
  <c r="S20" i="26"/>
  <c r="U114" i="2" s="1"/>
  <c r="R20" i="26"/>
  <c r="Q20" i="26"/>
  <c r="P20" i="26"/>
  <c r="R114" i="2" s="1"/>
  <c r="O20" i="26"/>
  <c r="Q114" i="2" s="1"/>
  <c r="N20" i="26"/>
  <c r="M20" i="26"/>
  <c r="L20" i="26"/>
  <c r="N114" i="2" s="1"/>
  <c r="K20" i="26"/>
  <c r="M114" i="2" s="1"/>
  <c r="J20" i="26"/>
  <c r="I20" i="26"/>
  <c r="H20" i="26"/>
  <c r="J114" i="2" s="1"/>
  <c r="G20" i="26"/>
  <c r="I114" i="2" s="1"/>
  <c r="F20" i="26"/>
  <c r="E20" i="26"/>
  <c r="D20" i="26"/>
  <c r="B20" i="26"/>
  <c r="A20" i="26"/>
  <c r="S19" i="26"/>
  <c r="R19" i="26"/>
  <c r="Q19" i="26"/>
  <c r="S113" i="2" s="1"/>
  <c r="P19" i="26"/>
  <c r="O19" i="26"/>
  <c r="N19" i="26"/>
  <c r="P113" i="2" s="1"/>
  <c r="M19" i="26"/>
  <c r="O113" i="2" s="1"/>
  <c r="L19" i="26"/>
  <c r="K19" i="26"/>
  <c r="J19" i="26"/>
  <c r="L113" i="2" s="1"/>
  <c r="I19" i="26"/>
  <c r="K113" i="2" s="1"/>
  <c r="H19" i="26"/>
  <c r="G19" i="26"/>
  <c r="F19" i="26"/>
  <c r="E19" i="26"/>
  <c r="D19" i="26"/>
  <c r="B19" i="26"/>
  <c r="A19" i="26"/>
  <c r="S18" i="26"/>
  <c r="U112" i="2" s="1"/>
  <c r="R18" i="26"/>
  <c r="Q18" i="26"/>
  <c r="P18" i="26"/>
  <c r="R112" i="2" s="1"/>
  <c r="O18" i="26"/>
  <c r="Q112" i="2" s="1"/>
  <c r="N18" i="26"/>
  <c r="M18" i="26"/>
  <c r="L18" i="26"/>
  <c r="N112" i="2" s="1"/>
  <c r="K18" i="26"/>
  <c r="M112" i="2" s="1"/>
  <c r="J18" i="26"/>
  <c r="I18" i="26"/>
  <c r="H18" i="26"/>
  <c r="J112" i="2" s="1"/>
  <c r="G18" i="26"/>
  <c r="I112" i="2" s="1"/>
  <c r="F18" i="26"/>
  <c r="E18" i="26"/>
  <c r="D18" i="26"/>
  <c r="B18" i="26"/>
  <c r="A18" i="26"/>
  <c r="S17" i="26"/>
  <c r="R17" i="26"/>
  <c r="T111" i="2" s="1"/>
  <c r="Q17" i="26"/>
  <c r="P17" i="26"/>
  <c r="O17" i="26"/>
  <c r="N17" i="26"/>
  <c r="P111" i="2" s="1"/>
  <c r="M17" i="26"/>
  <c r="O111" i="2" s="1"/>
  <c r="L17" i="26"/>
  <c r="K17" i="26"/>
  <c r="J17" i="26"/>
  <c r="L111" i="2" s="1"/>
  <c r="I17" i="26"/>
  <c r="K111" i="2" s="1"/>
  <c r="H17" i="26"/>
  <c r="G17" i="26"/>
  <c r="F17" i="26"/>
  <c r="H111" i="2" s="1"/>
  <c r="E17" i="26"/>
  <c r="D17" i="26"/>
  <c r="B17" i="26"/>
  <c r="A17" i="26"/>
  <c r="S16" i="26"/>
  <c r="U110" i="2" s="1"/>
  <c r="R16" i="26"/>
  <c r="Q16" i="26"/>
  <c r="P16" i="26"/>
  <c r="R110" i="2" s="1"/>
  <c r="O16" i="26"/>
  <c r="Q110" i="2" s="1"/>
  <c r="N16" i="26"/>
  <c r="M16" i="26"/>
  <c r="L16" i="26"/>
  <c r="N110" i="2" s="1"/>
  <c r="K16" i="26"/>
  <c r="M110" i="2" s="1"/>
  <c r="J16" i="26"/>
  <c r="I16" i="26"/>
  <c r="H16" i="26"/>
  <c r="J110" i="2" s="1"/>
  <c r="G16" i="26"/>
  <c r="I110" i="2" s="1"/>
  <c r="F16" i="26"/>
  <c r="E16" i="26"/>
  <c r="D16" i="26"/>
  <c r="B16" i="26"/>
  <c r="A16" i="26"/>
  <c r="S15" i="26"/>
  <c r="R15" i="26"/>
  <c r="T109" i="2" s="1"/>
  <c r="Q15" i="26"/>
  <c r="S109" i="2" s="1"/>
  <c r="P15" i="26"/>
  <c r="O15" i="26"/>
  <c r="N15" i="26"/>
  <c r="M15" i="26"/>
  <c r="O109" i="2" s="1"/>
  <c r="L15" i="26"/>
  <c r="K15" i="26"/>
  <c r="J15" i="26"/>
  <c r="I15" i="26"/>
  <c r="K109" i="2" s="1"/>
  <c r="H15" i="26"/>
  <c r="G15" i="26"/>
  <c r="F15" i="26"/>
  <c r="H109" i="2" s="1"/>
  <c r="E15" i="26"/>
  <c r="D15" i="26"/>
  <c r="B15" i="26"/>
  <c r="A15" i="26"/>
  <c r="S14" i="26"/>
  <c r="U108" i="2" s="1"/>
  <c r="R14" i="26"/>
  <c r="Q14" i="26"/>
  <c r="P14" i="26"/>
  <c r="O14" i="26"/>
  <c r="Q108" i="2" s="1"/>
  <c r="N14" i="26"/>
  <c r="M14" i="26"/>
  <c r="L14" i="26"/>
  <c r="K14" i="26"/>
  <c r="M108" i="2" s="1"/>
  <c r="J14" i="26"/>
  <c r="I14" i="26"/>
  <c r="H14" i="26"/>
  <c r="G14" i="26"/>
  <c r="I108" i="2" s="1"/>
  <c r="F14" i="26"/>
  <c r="E14" i="26"/>
  <c r="D14" i="26"/>
  <c r="B14" i="26"/>
  <c r="A14" i="26"/>
  <c r="S13" i="26"/>
  <c r="R13" i="26"/>
  <c r="T107" i="2" s="1"/>
  <c r="Q13" i="26"/>
  <c r="S107" i="2" s="1"/>
  <c r="P13" i="26"/>
  <c r="O13" i="26"/>
  <c r="N13" i="26"/>
  <c r="P107" i="2" s="1"/>
  <c r="M13" i="26"/>
  <c r="O107" i="2" s="1"/>
  <c r="L13" i="26"/>
  <c r="K13" i="26"/>
  <c r="J13" i="26"/>
  <c r="L107" i="2" s="1"/>
  <c r="I13" i="26"/>
  <c r="H13" i="26"/>
  <c r="G13" i="26"/>
  <c r="F13" i="26"/>
  <c r="H107" i="2" s="1"/>
  <c r="E13" i="26"/>
  <c r="D13" i="26"/>
  <c r="B13" i="26"/>
  <c r="A13" i="26"/>
  <c r="S12" i="26"/>
  <c r="U106" i="2" s="1"/>
  <c r="R12" i="26"/>
  <c r="Q12" i="26"/>
  <c r="P12" i="26"/>
  <c r="R106" i="2" s="1"/>
  <c r="O12" i="26"/>
  <c r="Q106" i="2" s="1"/>
  <c r="N12" i="26"/>
  <c r="M12" i="26"/>
  <c r="L12" i="26"/>
  <c r="N106" i="2" s="1"/>
  <c r="K12" i="26"/>
  <c r="M106" i="2" s="1"/>
  <c r="J12" i="26"/>
  <c r="I12" i="26"/>
  <c r="H12" i="26"/>
  <c r="J106" i="2" s="1"/>
  <c r="G12" i="26"/>
  <c r="I106" i="2" s="1"/>
  <c r="F12" i="26"/>
  <c r="E12" i="26"/>
  <c r="D12" i="26"/>
  <c r="B12" i="26"/>
  <c r="A12" i="26"/>
  <c r="S11" i="26"/>
  <c r="R11" i="26"/>
  <c r="Q11" i="26"/>
  <c r="S105" i="2" s="1"/>
  <c r="P11" i="26"/>
  <c r="O11" i="26"/>
  <c r="N11" i="26"/>
  <c r="P105" i="2" s="1"/>
  <c r="M11" i="26"/>
  <c r="O105" i="2" s="1"/>
  <c r="L11" i="26"/>
  <c r="K11" i="26"/>
  <c r="J11" i="26"/>
  <c r="L105" i="2" s="1"/>
  <c r="I11" i="26"/>
  <c r="K105" i="2" s="1"/>
  <c r="H11" i="26"/>
  <c r="G11" i="26"/>
  <c r="F11" i="26"/>
  <c r="E11" i="26"/>
  <c r="D11" i="26"/>
  <c r="B11" i="26"/>
  <c r="A11" i="26"/>
  <c r="S10" i="26"/>
  <c r="U104" i="2" s="1"/>
  <c r="R10" i="26"/>
  <c r="Q10" i="26"/>
  <c r="P10" i="26"/>
  <c r="R104" i="2" s="1"/>
  <c r="O10" i="26"/>
  <c r="Q104" i="2" s="1"/>
  <c r="N10" i="26"/>
  <c r="M10" i="26"/>
  <c r="L10" i="26"/>
  <c r="N104" i="2" s="1"/>
  <c r="K10" i="26"/>
  <c r="M104" i="2" s="1"/>
  <c r="J10" i="26"/>
  <c r="I10" i="26"/>
  <c r="H10" i="26"/>
  <c r="J104" i="2" s="1"/>
  <c r="G10" i="26"/>
  <c r="I104" i="2" s="1"/>
  <c r="F10" i="26"/>
  <c r="E10" i="26"/>
  <c r="D10" i="26"/>
  <c r="B10" i="26"/>
  <c r="A10" i="26"/>
  <c r="S9" i="26"/>
  <c r="R9" i="26"/>
  <c r="T103" i="2" s="1"/>
  <c r="Q9" i="26"/>
  <c r="S103" i="2" s="1"/>
  <c r="P9" i="26"/>
  <c r="O9" i="26"/>
  <c r="N9" i="26"/>
  <c r="P103" i="2" s="1"/>
  <c r="M9" i="26"/>
  <c r="O103" i="2" s="1"/>
  <c r="L9" i="26"/>
  <c r="K9" i="26"/>
  <c r="J9" i="26"/>
  <c r="L103" i="2" s="1"/>
  <c r="I9" i="26"/>
  <c r="K103" i="2" s="1"/>
  <c r="H9" i="26"/>
  <c r="G9" i="26"/>
  <c r="F9" i="26"/>
  <c r="H103" i="2" s="1"/>
  <c r="E9" i="26"/>
  <c r="D9" i="26"/>
  <c r="B9" i="26"/>
  <c r="A9" i="26"/>
  <c r="S8" i="26"/>
  <c r="U102" i="2" s="1"/>
  <c r="R8" i="26"/>
  <c r="Q8" i="26"/>
  <c r="P8" i="26"/>
  <c r="R102" i="2" s="1"/>
  <c r="O8" i="26"/>
  <c r="Q102" i="2" s="1"/>
  <c r="N8" i="26"/>
  <c r="M8" i="26"/>
  <c r="L8" i="26"/>
  <c r="N102" i="2" s="1"/>
  <c r="K8" i="26"/>
  <c r="M102" i="2" s="1"/>
  <c r="J8" i="26"/>
  <c r="I8" i="26"/>
  <c r="H8" i="26"/>
  <c r="J102" i="2" s="1"/>
  <c r="G8" i="26"/>
  <c r="I102" i="2" s="1"/>
  <c r="F8" i="26"/>
  <c r="E8" i="26"/>
  <c r="D8" i="26"/>
  <c r="B8" i="26"/>
  <c r="A8" i="26"/>
  <c r="S7" i="26"/>
  <c r="R7" i="26"/>
  <c r="T101" i="2" s="1"/>
  <c r="Q7" i="26"/>
  <c r="S101" i="2" s="1"/>
  <c r="P7" i="26"/>
  <c r="O7" i="26"/>
  <c r="N7" i="26"/>
  <c r="M7" i="26"/>
  <c r="O101" i="2" s="1"/>
  <c r="L7" i="26"/>
  <c r="K7" i="26"/>
  <c r="J7" i="26"/>
  <c r="I7" i="26"/>
  <c r="K101" i="2" s="1"/>
  <c r="H7" i="26"/>
  <c r="G7" i="26"/>
  <c r="F7" i="26"/>
  <c r="H101" i="2" s="1"/>
  <c r="E7" i="26"/>
  <c r="D7" i="26"/>
  <c r="B7" i="26"/>
  <c r="A7" i="26"/>
  <c r="S6" i="26"/>
  <c r="U100" i="2" s="1"/>
  <c r="R6" i="26"/>
  <c r="Q6" i="26"/>
  <c r="P6" i="26"/>
  <c r="O6" i="26"/>
  <c r="Q100" i="2" s="1"/>
  <c r="N6" i="26"/>
  <c r="M6" i="26"/>
  <c r="L6" i="26"/>
  <c r="K6" i="26"/>
  <c r="M100" i="2" s="1"/>
  <c r="J6" i="26"/>
  <c r="I6" i="26"/>
  <c r="H6" i="26"/>
  <c r="G6" i="26"/>
  <c r="I100" i="2" s="1"/>
  <c r="F6" i="26"/>
  <c r="E6" i="26"/>
  <c r="D6" i="26"/>
  <c r="B6" i="26"/>
  <c r="A6" i="26"/>
  <c r="S5" i="26"/>
  <c r="R5" i="26"/>
  <c r="T99" i="2" s="1"/>
  <c r="Q5" i="26"/>
  <c r="S99" i="2" s="1"/>
  <c r="P5" i="26"/>
  <c r="O5" i="26"/>
  <c r="N5" i="26"/>
  <c r="P99" i="2" s="1"/>
  <c r="M5" i="26"/>
  <c r="O99" i="2" s="1"/>
  <c r="L5" i="26"/>
  <c r="K5" i="26"/>
  <c r="J5" i="26"/>
  <c r="L99" i="2" s="1"/>
  <c r="I5" i="26"/>
  <c r="K99" i="2" s="1"/>
  <c r="H5" i="26"/>
  <c r="G5" i="26"/>
  <c r="F5" i="26"/>
  <c r="H99" i="2" s="1"/>
  <c r="E5" i="26"/>
  <c r="D5" i="26"/>
  <c r="B5" i="26"/>
  <c r="A5" i="26"/>
  <c r="S4" i="26"/>
  <c r="U98" i="2" s="1"/>
  <c r="R4" i="26"/>
  <c r="Q4" i="26"/>
  <c r="P4" i="26"/>
  <c r="R98" i="2" s="1"/>
  <c r="O4" i="26"/>
  <c r="Q98" i="2" s="1"/>
  <c r="N4" i="26"/>
  <c r="M4" i="26"/>
  <c r="L4" i="26"/>
  <c r="N98" i="2" s="1"/>
  <c r="K4" i="26"/>
  <c r="M98" i="2" s="1"/>
  <c r="J4" i="26"/>
  <c r="I4" i="26"/>
  <c r="H4" i="26"/>
  <c r="J98" i="2" s="1"/>
  <c r="G4" i="26"/>
  <c r="I98" i="2" s="1"/>
  <c r="F4" i="26"/>
  <c r="E4" i="26"/>
  <c r="D4" i="26"/>
  <c r="B4" i="26"/>
  <c r="A4" i="26"/>
  <c r="S3" i="26"/>
  <c r="R3" i="26"/>
  <c r="Q3" i="26"/>
  <c r="S97" i="2" s="1"/>
  <c r="P3" i="26"/>
  <c r="O3" i="26"/>
  <c r="N3" i="26"/>
  <c r="P97" i="2" s="1"/>
  <c r="M3" i="26"/>
  <c r="O97" i="2" s="1"/>
  <c r="L3" i="26"/>
  <c r="K3" i="26"/>
  <c r="J3" i="26"/>
  <c r="L97" i="2" s="1"/>
  <c r="I3" i="26"/>
  <c r="K97" i="2" s="1"/>
  <c r="H3" i="26"/>
  <c r="G3" i="26"/>
  <c r="F3" i="26"/>
  <c r="E3" i="26"/>
  <c r="D3" i="26"/>
  <c r="B3" i="26"/>
  <c r="A3" i="26"/>
  <c r="S2" i="26"/>
  <c r="U96" i="2" s="1"/>
  <c r="R2" i="26"/>
  <c r="Q2" i="26"/>
  <c r="P2" i="26"/>
  <c r="R96" i="2" s="1"/>
  <c r="O2" i="26"/>
  <c r="Q96" i="2" s="1"/>
  <c r="N2" i="26"/>
  <c r="M2" i="26"/>
  <c r="L2" i="26"/>
  <c r="N96" i="2" s="1"/>
  <c r="K2" i="26"/>
  <c r="M96" i="2" s="1"/>
  <c r="J2" i="26"/>
  <c r="I2" i="26"/>
  <c r="H2" i="26"/>
  <c r="J96" i="2" s="1"/>
  <c r="G2" i="26"/>
  <c r="I96" i="2" s="1"/>
  <c r="F2" i="26"/>
  <c r="E2" i="26"/>
  <c r="D2" i="26"/>
  <c r="B2" i="26"/>
  <c r="A2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B1" i="26"/>
  <c r="A1" i="26"/>
  <c r="S94" i="25"/>
  <c r="R94" i="25"/>
  <c r="Q94" i="25"/>
  <c r="P94" i="25"/>
  <c r="N188" i="1" s="1"/>
  <c r="O94" i="25"/>
  <c r="N94" i="25"/>
  <c r="M94" i="25"/>
  <c r="L94" i="25"/>
  <c r="J188" i="1" s="1"/>
  <c r="K94" i="25"/>
  <c r="J94" i="25"/>
  <c r="I94" i="25"/>
  <c r="H94" i="25"/>
  <c r="F188" i="1" s="1"/>
  <c r="G94" i="25"/>
  <c r="F94" i="25"/>
  <c r="E94" i="25"/>
  <c r="D94" i="25"/>
  <c r="C94" i="25"/>
  <c r="B94" i="25"/>
  <c r="A94" i="25"/>
  <c r="S93" i="25"/>
  <c r="Q187" i="1" s="1"/>
  <c r="R93" i="25"/>
  <c r="Q93" i="25"/>
  <c r="P93" i="25"/>
  <c r="N187" i="1" s="1"/>
  <c r="O93" i="25"/>
  <c r="M187" i="1" s="1"/>
  <c r="N93" i="25"/>
  <c r="M93" i="25"/>
  <c r="L93" i="25"/>
  <c r="J187" i="1" s="1"/>
  <c r="K93" i="25"/>
  <c r="I187" i="1" s="1"/>
  <c r="J93" i="25"/>
  <c r="I93" i="25"/>
  <c r="H93" i="25"/>
  <c r="F187" i="1" s="1"/>
  <c r="G93" i="25"/>
  <c r="E187" i="1" s="1"/>
  <c r="F93" i="25"/>
  <c r="E93" i="25"/>
  <c r="D93" i="25"/>
  <c r="F187" i="3" s="1"/>
  <c r="C93" i="25"/>
  <c r="E187" i="2" s="1"/>
  <c r="B93" i="25"/>
  <c r="A93" i="25"/>
  <c r="S92" i="25"/>
  <c r="R92" i="25"/>
  <c r="P186" i="1" s="1"/>
  <c r="Q92" i="25"/>
  <c r="P92" i="25"/>
  <c r="O92" i="25"/>
  <c r="N92" i="25"/>
  <c r="L186" i="1" s="1"/>
  <c r="M92" i="25"/>
  <c r="L92" i="25"/>
  <c r="K92" i="25"/>
  <c r="J92" i="25"/>
  <c r="H186" i="1" s="1"/>
  <c r="I92" i="25"/>
  <c r="H92" i="25"/>
  <c r="G92" i="25"/>
  <c r="F92" i="25"/>
  <c r="D186" i="1" s="1"/>
  <c r="E92" i="25"/>
  <c r="D92" i="25"/>
  <c r="C92" i="25"/>
  <c r="E186" i="2" s="1"/>
  <c r="B92" i="25"/>
  <c r="A92" i="25"/>
  <c r="S91" i="25"/>
  <c r="R91" i="25"/>
  <c r="Q91" i="25"/>
  <c r="O185" i="1" s="1"/>
  <c r="P91" i="25"/>
  <c r="O91" i="25"/>
  <c r="N91" i="25"/>
  <c r="M91" i="25"/>
  <c r="K185" i="1" s="1"/>
  <c r="L91" i="25"/>
  <c r="K91" i="25"/>
  <c r="J91" i="25"/>
  <c r="I91" i="25"/>
  <c r="G185" i="1" s="1"/>
  <c r="H91" i="25"/>
  <c r="G91" i="25"/>
  <c r="F91" i="25"/>
  <c r="E91" i="25"/>
  <c r="D91" i="25"/>
  <c r="C91" i="25"/>
  <c r="B91" i="25"/>
  <c r="A91" i="25"/>
  <c r="S90" i="25"/>
  <c r="R90" i="25"/>
  <c r="Q90" i="25"/>
  <c r="P90" i="25"/>
  <c r="N184" i="1" s="1"/>
  <c r="O90" i="25"/>
  <c r="N90" i="25"/>
  <c r="M90" i="25"/>
  <c r="L90" i="25"/>
  <c r="J184" i="1" s="1"/>
  <c r="K90" i="25"/>
  <c r="J90" i="25"/>
  <c r="I90" i="25"/>
  <c r="H90" i="25"/>
  <c r="F184" i="1" s="1"/>
  <c r="G90" i="25"/>
  <c r="F90" i="25"/>
  <c r="E90" i="25"/>
  <c r="D90" i="25"/>
  <c r="C90" i="25"/>
  <c r="B90" i="25"/>
  <c r="A90" i="25"/>
  <c r="S89" i="25"/>
  <c r="Q183" i="1" s="1"/>
  <c r="R89" i="25"/>
  <c r="Q89" i="25"/>
  <c r="P89" i="25"/>
  <c r="N183" i="1" s="1"/>
  <c r="O89" i="25"/>
  <c r="M183" i="1" s="1"/>
  <c r="N89" i="25"/>
  <c r="M89" i="25"/>
  <c r="L89" i="25"/>
  <c r="J183" i="1" s="1"/>
  <c r="K89" i="25"/>
  <c r="I183" i="1" s="1"/>
  <c r="J89" i="25"/>
  <c r="I89" i="25"/>
  <c r="H89" i="25"/>
  <c r="F183" i="1" s="1"/>
  <c r="G89" i="25"/>
  <c r="E183" i="1" s="1"/>
  <c r="F89" i="25"/>
  <c r="E89" i="25"/>
  <c r="D89" i="25"/>
  <c r="F183" i="3" s="1"/>
  <c r="C89" i="25"/>
  <c r="E183" i="2" s="1"/>
  <c r="B89" i="25"/>
  <c r="A89" i="25"/>
  <c r="S88" i="25"/>
  <c r="R88" i="25"/>
  <c r="P182" i="1" s="1"/>
  <c r="Q88" i="25"/>
  <c r="P88" i="25"/>
  <c r="O88" i="25"/>
  <c r="N88" i="25"/>
  <c r="L182" i="1" s="1"/>
  <c r="M88" i="25"/>
  <c r="L88" i="25"/>
  <c r="K88" i="25"/>
  <c r="J88" i="25"/>
  <c r="H182" i="1" s="1"/>
  <c r="I88" i="25"/>
  <c r="H88" i="25"/>
  <c r="G88" i="25"/>
  <c r="F88" i="25"/>
  <c r="D182" i="1" s="1"/>
  <c r="E88" i="25"/>
  <c r="D88" i="25"/>
  <c r="C88" i="25"/>
  <c r="E182" i="2" s="1"/>
  <c r="B88" i="25"/>
  <c r="A88" i="25"/>
  <c r="S87" i="25"/>
  <c r="R87" i="25"/>
  <c r="Q87" i="25"/>
  <c r="O181" i="1" s="1"/>
  <c r="P87" i="25"/>
  <c r="O87" i="25"/>
  <c r="N87" i="25"/>
  <c r="M87" i="25"/>
  <c r="K181" i="1" s="1"/>
  <c r="L87" i="25"/>
  <c r="K87" i="25"/>
  <c r="J87" i="25"/>
  <c r="I87" i="25"/>
  <c r="G181" i="1" s="1"/>
  <c r="H87" i="25"/>
  <c r="G87" i="25"/>
  <c r="F87" i="25"/>
  <c r="E87" i="25"/>
  <c r="D87" i="25"/>
  <c r="C87" i="25"/>
  <c r="B87" i="25"/>
  <c r="A87" i="25"/>
  <c r="S86" i="25"/>
  <c r="R86" i="25"/>
  <c r="Q86" i="25"/>
  <c r="P86" i="25"/>
  <c r="N180" i="1" s="1"/>
  <c r="O86" i="25"/>
  <c r="N86" i="25"/>
  <c r="M86" i="25"/>
  <c r="L86" i="25"/>
  <c r="J180" i="1" s="1"/>
  <c r="K86" i="25"/>
  <c r="J86" i="25"/>
  <c r="I86" i="25"/>
  <c r="H86" i="25"/>
  <c r="F180" i="1" s="1"/>
  <c r="G86" i="25"/>
  <c r="F86" i="25"/>
  <c r="E86" i="25"/>
  <c r="D86" i="25"/>
  <c r="C86" i="25"/>
  <c r="B86" i="25"/>
  <c r="A86" i="25"/>
  <c r="S85" i="25"/>
  <c r="Q179" i="1" s="1"/>
  <c r="R85" i="25"/>
  <c r="Q85" i="25"/>
  <c r="P85" i="25"/>
  <c r="N179" i="1" s="1"/>
  <c r="O85" i="25"/>
  <c r="M179" i="1" s="1"/>
  <c r="N85" i="25"/>
  <c r="M85" i="25"/>
  <c r="L85" i="25"/>
  <c r="J179" i="1" s="1"/>
  <c r="K85" i="25"/>
  <c r="I179" i="1" s="1"/>
  <c r="J85" i="25"/>
  <c r="I85" i="25"/>
  <c r="H85" i="25"/>
  <c r="F179" i="1" s="1"/>
  <c r="G85" i="25"/>
  <c r="E179" i="1" s="1"/>
  <c r="F85" i="25"/>
  <c r="E85" i="25"/>
  <c r="D85" i="25"/>
  <c r="F179" i="3" s="1"/>
  <c r="C85" i="25"/>
  <c r="E179" i="2" s="1"/>
  <c r="B85" i="25"/>
  <c r="A85" i="25"/>
  <c r="S84" i="25"/>
  <c r="R84" i="25"/>
  <c r="P178" i="1" s="1"/>
  <c r="Q84" i="25"/>
  <c r="P84" i="25"/>
  <c r="O84" i="25"/>
  <c r="N84" i="25"/>
  <c r="L178" i="1" s="1"/>
  <c r="M84" i="25"/>
  <c r="L84" i="25"/>
  <c r="K84" i="25"/>
  <c r="J84" i="25"/>
  <c r="H178" i="1" s="1"/>
  <c r="I84" i="25"/>
  <c r="H84" i="25"/>
  <c r="G84" i="25"/>
  <c r="F84" i="25"/>
  <c r="D178" i="1" s="1"/>
  <c r="E84" i="25"/>
  <c r="D84" i="25"/>
  <c r="C84" i="25"/>
  <c r="E178" i="2" s="1"/>
  <c r="B84" i="25"/>
  <c r="A84" i="25"/>
  <c r="S83" i="25"/>
  <c r="R83" i="25"/>
  <c r="Q83" i="25"/>
  <c r="O177" i="1" s="1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83" i="25"/>
  <c r="S82" i="25"/>
  <c r="R82" i="25"/>
  <c r="Q82" i="25"/>
  <c r="P82" i="25"/>
  <c r="N176" i="1" s="1"/>
  <c r="O82" i="25"/>
  <c r="N82" i="25"/>
  <c r="M82" i="25"/>
  <c r="L82" i="25"/>
  <c r="J176" i="1" s="1"/>
  <c r="K82" i="25"/>
  <c r="J82" i="25"/>
  <c r="I82" i="25"/>
  <c r="H82" i="25"/>
  <c r="F176" i="1" s="1"/>
  <c r="G82" i="25"/>
  <c r="F82" i="25"/>
  <c r="E82" i="25"/>
  <c r="G176" i="3" s="1"/>
  <c r="D82" i="25"/>
  <c r="C82" i="25"/>
  <c r="B82" i="25"/>
  <c r="A82" i="25"/>
  <c r="S81" i="25"/>
  <c r="Q175" i="1" s="1"/>
  <c r="R81" i="25"/>
  <c r="Q81" i="25"/>
  <c r="P81" i="25"/>
  <c r="N175" i="1" s="1"/>
  <c r="O81" i="25"/>
  <c r="M175" i="1" s="1"/>
  <c r="N81" i="25"/>
  <c r="M81" i="25"/>
  <c r="L81" i="25"/>
  <c r="J175" i="1" s="1"/>
  <c r="K81" i="25"/>
  <c r="I175" i="1" s="1"/>
  <c r="J81" i="25"/>
  <c r="I81" i="25"/>
  <c r="H81" i="25"/>
  <c r="F175" i="1" s="1"/>
  <c r="G81" i="25"/>
  <c r="E175" i="1" s="1"/>
  <c r="F81" i="25"/>
  <c r="E81" i="25"/>
  <c r="D81" i="25"/>
  <c r="C81" i="25"/>
  <c r="E175" i="2" s="1"/>
  <c r="B81" i="25"/>
  <c r="A81" i="25"/>
  <c r="S80" i="25"/>
  <c r="R80" i="25"/>
  <c r="P174" i="1" s="1"/>
  <c r="Q80" i="25"/>
  <c r="P80" i="25"/>
  <c r="O80" i="25"/>
  <c r="N80" i="25"/>
  <c r="L174" i="1" s="1"/>
  <c r="M80" i="25"/>
  <c r="L80" i="25"/>
  <c r="K80" i="25"/>
  <c r="J80" i="25"/>
  <c r="H174" i="1" s="1"/>
  <c r="I80" i="25"/>
  <c r="H80" i="25"/>
  <c r="G80" i="25"/>
  <c r="F80" i="25"/>
  <c r="D174" i="1" s="1"/>
  <c r="E80" i="25"/>
  <c r="D80" i="25"/>
  <c r="C80" i="25"/>
  <c r="E174" i="2" s="1"/>
  <c r="B80" i="25"/>
  <c r="D174" i="3" s="1"/>
  <c r="A80" i="25"/>
  <c r="S79" i="25"/>
  <c r="R79" i="25"/>
  <c r="Q79" i="25"/>
  <c r="O173" i="1" s="1"/>
  <c r="P79" i="25"/>
  <c r="O79" i="25"/>
  <c r="N79" i="25"/>
  <c r="M79" i="25"/>
  <c r="K173" i="1" s="1"/>
  <c r="L79" i="25"/>
  <c r="K79" i="25"/>
  <c r="J79" i="25"/>
  <c r="I79" i="25"/>
  <c r="G173" i="1" s="1"/>
  <c r="H79" i="25"/>
  <c r="G79" i="25"/>
  <c r="F79" i="25"/>
  <c r="E79" i="25"/>
  <c r="D79" i="25"/>
  <c r="C79" i="25"/>
  <c r="B79" i="25"/>
  <c r="D173" i="3" s="1"/>
  <c r="A79" i="25"/>
  <c r="S78" i="25"/>
  <c r="R78" i="25"/>
  <c r="Q78" i="25"/>
  <c r="P78" i="25"/>
  <c r="N172" i="1" s="1"/>
  <c r="O78" i="25"/>
  <c r="N78" i="25"/>
  <c r="M78" i="25"/>
  <c r="L78" i="25"/>
  <c r="J172" i="1" s="1"/>
  <c r="K78" i="25"/>
  <c r="J78" i="25"/>
  <c r="I78" i="25"/>
  <c r="H78" i="25"/>
  <c r="F172" i="1" s="1"/>
  <c r="G78" i="25"/>
  <c r="F78" i="25"/>
  <c r="E78" i="25"/>
  <c r="D78" i="25"/>
  <c r="C78" i="25"/>
  <c r="B78" i="25"/>
  <c r="A78" i="25"/>
  <c r="S77" i="25"/>
  <c r="Q171" i="1" s="1"/>
  <c r="R77" i="25"/>
  <c r="Q77" i="25"/>
  <c r="P77" i="25"/>
  <c r="N171" i="1" s="1"/>
  <c r="O77" i="25"/>
  <c r="M171" i="1" s="1"/>
  <c r="N77" i="25"/>
  <c r="M77" i="25"/>
  <c r="L77" i="25"/>
  <c r="J171" i="1" s="1"/>
  <c r="K77" i="25"/>
  <c r="I171" i="1" s="1"/>
  <c r="J77" i="25"/>
  <c r="I77" i="25"/>
  <c r="H77" i="25"/>
  <c r="F171" i="1" s="1"/>
  <c r="G77" i="25"/>
  <c r="F77" i="25"/>
  <c r="E77" i="25"/>
  <c r="D77" i="25"/>
  <c r="F171" i="3" s="1"/>
  <c r="C77" i="25"/>
  <c r="E171" i="2" s="1"/>
  <c r="B77" i="25"/>
  <c r="A77" i="25"/>
  <c r="S76" i="25"/>
  <c r="R76" i="25"/>
  <c r="P170" i="1" s="1"/>
  <c r="Q76" i="25"/>
  <c r="P76" i="25"/>
  <c r="O76" i="25"/>
  <c r="N76" i="25"/>
  <c r="L170" i="1" s="1"/>
  <c r="M76" i="25"/>
  <c r="L76" i="25"/>
  <c r="K76" i="25"/>
  <c r="J76" i="25"/>
  <c r="H170" i="1" s="1"/>
  <c r="I76" i="25"/>
  <c r="H76" i="25"/>
  <c r="G76" i="25"/>
  <c r="F76" i="25"/>
  <c r="D170" i="1" s="1"/>
  <c r="E76" i="25"/>
  <c r="D76" i="25"/>
  <c r="C76" i="25"/>
  <c r="E170" i="2" s="1"/>
  <c r="B76" i="25"/>
  <c r="D170" i="3" s="1"/>
  <c r="A76" i="25"/>
  <c r="S75" i="25"/>
  <c r="R75" i="25"/>
  <c r="Q75" i="25"/>
  <c r="O169" i="1" s="1"/>
  <c r="P75" i="25"/>
  <c r="O75" i="25"/>
  <c r="N75" i="25"/>
  <c r="M75" i="25"/>
  <c r="K169" i="1" s="1"/>
  <c r="L75" i="25"/>
  <c r="K75" i="25"/>
  <c r="J75" i="25"/>
  <c r="I75" i="25"/>
  <c r="G169" i="1" s="1"/>
  <c r="H75" i="25"/>
  <c r="G75" i="25"/>
  <c r="F75" i="25"/>
  <c r="E75" i="25"/>
  <c r="D75" i="25"/>
  <c r="C75" i="25"/>
  <c r="B75" i="25"/>
  <c r="D169" i="3" s="1"/>
  <c r="A75" i="25"/>
  <c r="S74" i="25"/>
  <c r="R74" i="25"/>
  <c r="Q74" i="25"/>
  <c r="P74" i="25"/>
  <c r="N168" i="1" s="1"/>
  <c r="O74" i="25"/>
  <c r="N74" i="25"/>
  <c r="M74" i="25"/>
  <c r="L74" i="25"/>
  <c r="J168" i="1" s="1"/>
  <c r="K74" i="25"/>
  <c r="J74" i="25"/>
  <c r="I74" i="25"/>
  <c r="H74" i="25"/>
  <c r="F168" i="1" s="1"/>
  <c r="G74" i="25"/>
  <c r="F74" i="25"/>
  <c r="E74" i="25"/>
  <c r="D74" i="25"/>
  <c r="C74" i="25"/>
  <c r="B74" i="25"/>
  <c r="A74" i="25"/>
  <c r="S73" i="25"/>
  <c r="Q167" i="1" s="1"/>
  <c r="R73" i="25"/>
  <c r="Q73" i="25"/>
  <c r="P73" i="25"/>
  <c r="N167" i="1" s="1"/>
  <c r="O73" i="25"/>
  <c r="M167" i="1" s="1"/>
  <c r="N73" i="25"/>
  <c r="M73" i="25"/>
  <c r="L73" i="25"/>
  <c r="J167" i="1" s="1"/>
  <c r="K73" i="25"/>
  <c r="I167" i="1" s="1"/>
  <c r="J73" i="25"/>
  <c r="I73" i="25"/>
  <c r="H73" i="25"/>
  <c r="F167" i="1" s="1"/>
  <c r="G73" i="25"/>
  <c r="E167" i="1" s="1"/>
  <c r="F73" i="25"/>
  <c r="E73" i="25"/>
  <c r="D73" i="25"/>
  <c r="C73" i="25"/>
  <c r="E167" i="2" s="1"/>
  <c r="B73" i="25"/>
  <c r="A73" i="25"/>
  <c r="S72" i="25"/>
  <c r="R72" i="25"/>
  <c r="P166" i="1" s="1"/>
  <c r="Q72" i="25"/>
  <c r="P72" i="25"/>
  <c r="O72" i="25"/>
  <c r="N72" i="25"/>
  <c r="L166" i="1" s="1"/>
  <c r="M72" i="25"/>
  <c r="L72" i="25"/>
  <c r="K72" i="25"/>
  <c r="J72" i="25"/>
  <c r="H166" i="1" s="1"/>
  <c r="I72" i="25"/>
  <c r="H72" i="25"/>
  <c r="G72" i="25"/>
  <c r="F72" i="25"/>
  <c r="D166" i="1" s="1"/>
  <c r="E72" i="25"/>
  <c r="D72" i="25"/>
  <c r="C72" i="25"/>
  <c r="E166" i="2" s="1"/>
  <c r="B72" i="25"/>
  <c r="A72" i="25"/>
  <c r="S71" i="25"/>
  <c r="R71" i="25"/>
  <c r="Q71" i="25"/>
  <c r="O165" i="1" s="1"/>
  <c r="P71" i="25"/>
  <c r="O71" i="25"/>
  <c r="N71" i="25"/>
  <c r="M71" i="25"/>
  <c r="K165" i="1" s="1"/>
  <c r="L71" i="25"/>
  <c r="K71" i="25"/>
  <c r="J71" i="25"/>
  <c r="I71" i="25"/>
  <c r="G165" i="1" s="1"/>
  <c r="H71" i="25"/>
  <c r="G71" i="25"/>
  <c r="F71" i="25"/>
  <c r="E71" i="25"/>
  <c r="D71" i="25"/>
  <c r="C71" i="25"/>
  <c r="B71" i="25"/>
  <c r="A71" i="25"/>
  <c r="S70" i="25"/>
  <c r="R70" i="25"/>
  <c r="Q70" i="25"/>
  <c r="P70" i="25"/>
  <c r="N164" i="1" s="1"/>
  <c r="O70" i="25"/>
  <c r="N70" i="25"/>
  <c r="M70" i="25"/>
  <c r="L70" i="25"/>
  <c r="J164" i="1" s="1"/>
  <c r="K70" i="25"/>
  <c r="J70" i="25"/>
  <c r="I70" i="25"/>
  <c r="H70" i="25"/>
  <c r="F164" i="1" s="1"/>
  <c r="G70" i="25"/>
  <c r="F70" i="25"/>
  <c r="E70" i="25"/>
  <c r="D70" i="25"/>
  <c r="C70" i="25"/>
  <c r="B70" i="25"/>
  <c r="A70" i="25"/>
  <c r="S69" i="25"/>
  <c r="Q163" i="1" s="1"/>
  <c r="R69" i="25"/>
  <c r="Q69" i="25"/>
  <c r="P69" i="25"/>
  <c r="N163" i="1" s="1"/>
  <c r="O69" i="25"/>
  <c r="N69" i="25"/>
  <c r="M69" i="25"/>
  <c r="L69" i="25"/>
  <c r="J163" i="1" s="1"/>
  <c r="K69" i="25"/>
  <c r="I163" i="1" s="1"/>
  <c r="J69" i="25"/>
  <c r="I69" i="25"/>
  <c r="H69" i="25"/>
  <c r="F163" i="1" s="1"/>
  <c r="G69" i="25"/>
  <c r="E163" i="1" s="1"/>
  <c r="F69" i="25"/>
  <c r="E69" i="25"/>
  <c r="D69" i="25"/>
  <c r="F163" i="3" s="1"/>
  <c r="C69" i="25"/>
  <c r="E163" i="2" s="1"/>
  <c r="B69" i="25"/>
  <c r="A69" i="25"/>
  <c r="S68" i="25"/>
  <c r="R68" i="25"/>
  <c r="P162" i="1" s="1"/>
  <c r="Q68" i="25"/>
  <c r="P68" i="25"/>
  <c r="O68" i="25"/>
  <c r="N68" i="25"/>
  <c r="L162" i="1" s="1"/>
  <c r="M68" i="25"/>
  <c r="L68" i="25"/>
  <c r="K68" i="25"/>
  <c r="J68" i="25"/>
  <c r="H162" i="1" s="1"/>
  <c r="I68" i="25"/>
  <c r="H68" i="25"/>
  <c r="G68" i="25"/>
  <c r="F68" i="25"/>
  <c r="D162" i="1" s="1"/>
  <c r="E68" i="25"/>
  <c r="D68" i="25"/>
  <c r="C68" i="25"/>
  <c r="E162" i="2" s="1"/>
  <c r="B68" i="25"/>
  <c r="A68" i="25"/>
  <c r="S67" i="25"/>
  <c r="R67" i="25"/>
  <c r="Q67" i="25"/>
  <c r="O161" i="1" s="1"/>
  <c r="P67" i="25"/>
  <c r="O67" i="25"/>
  <c r="N67" i="25"/>
  <c r="M67" i="25"/>
  <c r="K161" i="1" s="1"/>
  <c r="L67" i="25"/>
  <c r="K67" i="25"/>
  <c r="J67" i="25"/>
  <c r="I67" i="25"/>
  <c r="G161" i="1" s="1"/>
  <c r="H67" i="25"/>
  <c r="G67" i="25"/>
  <c r="F67" i="25"/>
  <c r="E67" i="25"/>
  <c r="D67" i="25"/>
  <c r="C67" i="25"/>
  <c r="B67" i="25"/>
  <c r="D161" i="3" s="1"/>
  <c r="A67" i="25"/>
  <c r="S66" i="25"/>
  <c r="R66" i="25"/>
  <c r="Q66" i="25"/>
  <c r="P66" i="25"/>
  <c r="N160" i="1" s="1"/>
  <c r="O66" i="25"/>
  <c r="N66" i="25"/>
  <c r="M66" i="25"/>
  <c r="L66" i="25"/>
  <c r="J160" i="1" s="1"/>
  <c r="K66" i="25"/>
  <c r="J66" i="25"/>
  <c r="I66" i="25"/>
  <c r="H66" i="25"/>
  <c r="F160" i="1" s="1"/>
  <c r="G66" i="25"/>
  <c r="F66" i="25"/>
  <c r="E66" i="25"/>
  <c r="D66" i="25"/>
  <c r="C66" i="25"/>
  <c r="B66" i="25"/>
  <c r="A66" i="25"/>
  <c r="S65" i="25"/>
  <c r="Q159" i="1" s="1"/>
  <c r="R65" i="25"/>
  <c r="Q65" i="25"/>
  <c r="P65" i="25"/>
  <c r="N159" i="1" s="1"/>
  <c r="O65" i="25"/>
  <c r="M159" i="1" s="1"/>
  <c r="N65" i="25"/>
  <c r="M65" i="25"/>
  <c r="L65" i="25"/>
  <c r="J159" i="1" s="1"/>
  <c r="K65" i="25"/>
  <c r="I159" i="1" s="1"/>
  <c r="J65" i="25"/>
  <c r="I65" i="25"/>
  <c r="H65" i="25"/>
  <c r="F159" i="1" s="1"/>
  <c r="G65" i="25"/>
  <c r="E159" i="1" s="1"/>
  <c r="F65" i="25"/>
  <c r="E65" i="25"/>
  <c r="D65" i="25"/>
  <c r="C65" i="25"/>
  <c r="E159" i="2" s="1"/>
  <c r="B65" i="25"/>
  <c r="A65" i="25"/>
  <c r="S64" i="25"/>
  <c r="R64" i="25"/>
  <c r="P158" i="1" s="1"/>
  <c r="Q64" i="25"/>
  <c r="P64" i="25"/>
  <c r="O64" i="25"/>
  <c r="N64" i="25"/>
  <c r="L158" i="1" s="1"/>
  <c r="M64" i="25"/>
  <c r="L64" i="25"/>
  <c r="K64" i="25"/>
  <c r="J64" i="25"/>
  <c r="H158" i="1" s="1"/>
  <c r="I64" i="25"/>
  <c r="H64" i="25"/>
  <c r="G64" i="25"/>
  <c r="F64" i="25"/>
  <c r="D158" i="1" s="1"/>
  <c r="E64" i="25"/>
  <c r="D64" i="25"/>
  <c r="C64" i="25"/>
  <c r="E158" i="2" s="1"/>
  <c r="B64" i="25"/>
  <c r="D158" i="3" s="1"/>
  <c r="A64" i="25"/>
  <c r="S63" i="25"/>
  <c r="R63" i="25"/>
  <c r="Q63" i="25"/>
  <c r="O157" i="1" s="1"/>
  <c r="P63" i="25"/>
  <c r="O63" i="25"/>
  <c r="N63" i="25"/>
  <c r="M63" i="25"/>
  <c r="K157" i="1" s="1"/>
  <c r="L63" i="25"/>
  <c r="K63" i="25"/>
  <c r="J63" i="25"/>
  <c r="I63" i="25"/>
  <c r="G157" i="1" s="1"/>
  <c r="H63" i="25"/>
  <c r="G63" i="25"/>
  <c r="F63" i="25"/>
  <c r="E63" i="25"/>
  <c r="D63" i="25"/>
  <c r="C63" i="25"/>
  <c r="B63" i="25"/>
  <c r="A63" i="25"/>
  <c r="S62" i="25"/>
  <c r="R62" i="25"/>
  <c r="Q62" i="25"/>
  <c r="P62" i="25"/>
  <c r="N156" i="1" s="1"/>
  <c r="O62" i="25"/>
  <c r="N62" i="25"/>
  <c r="M62" i="25"/>
  <c r="L62" i="25"/>
  <c r="J156" i="1" s="1"/>
  <c r="K62" i="25"/>
  <c r="J62" i="25"/>
  <c r="I62" i="25"/>
  <c r="H62" i="25"/>
  <c r="F156" i="1" s="1"/>
  <c r="G62" i="25"/>
  <c r="F62" i="25"/>
  <c r="E62" i="25"/>
  <c r="G156" i="3" s="1"/>
  <c r="D62" i="25"/>
  <c r="C62" i="25"/>
  <c r="B62" i="25"/>
  <c r="A62" i="25"/>
  <c r="S61" i="25"/>
  <c r="Q155" i="1" s="1"/>
  <c r="R61" i="25"/>
  <c r="Q61" i="25"/>
  <c r="P61" i="25"/>
  <c r="N155" i="1" s="1"/>
  <c r="O61" i="25"/>
  <c r="M155" i="1" s="1"/>
  <c r="N61" i="25"/>
  <c r="M61" i="25"/>
  <c r="L61" i="25"/>
  <c r="J155" i="1" s="1"/>
  <c r="K61" i="25"/>
  <c r="I155" i="1" s="1"/>
  <c r="J61" i="25"/>
  <c r="I61" i="25"/>
  <c r="H61" i="25"/>
  <c r="F155" i="1" s="1"/>
  <c r="G61" i="25"/>
  <c r="E155" i="1" s="1"/>
  <c r="F61" i="25"/>
  <c r="E61" i="25"/>
  <c r="D61" i="25"/>
  <c r="C61" i="25"/>
  <c r="E155" i="2" s="1"/>
  <c r="B61" i="25"/>
  <c r="A61" i="25"/>
  <c r="S60" i="25"/>
  <c r="R60" i="25"/>
  <c r="P154" i="1" s="1"/>
  <c r="Q60" i="25"/>
  <c r="P60" i="25"/>
  <c r="O60" i="25"/>
  <c r="N60" i="25"/>
  <c r="L154" i="1" s="1"/>
  <c r="M60" i="25"/>
  <c r="L60" i="25"/>
  <c r="K60" i="25"/>
  <c r="J60" i="25"/>
  <c r="H154" i="1" s="1"/>
  <c r="I60" i="25"/>
  <c r="H60" i="25"/>
  <c r="G60" i="25"/>
  <c r="F60" i="25"/>
  <c r="D154" i="1" s="1"/>
  <c r="E60" i="25"/>
  <c r="D60" i="25"/>
  <c r="C60" i="25"/>
  <c r="E154" i="2" s="1"/>
  <c r="B60" i="25"/>
  <c r="A60" i="25"/>
  <c r="S59" i="25"/>
  <c r="R59" i="25"/>
  <c r="Q59" i="25"/>
  <c r="O153" i="1" s="1"/>
  <c r="P59" i="25"/>
  <c r="O59" i="25"/>
  <c r="N59" i="25"/>
  <c r="M59" i="25"/>
  <c r="K153" i="1" s="1"/>
  <c r="L59" i="25"/>
  <c r="K59" i="25"/>
  <c r="J59" i="25"/>
  <c r="I59" i="25"/>
  <c r="G153" i="1" s="1"/>
  <c r="H59" i="25"/>
  <c r="G59" i="25"/>
  <c r="F59" i="25"/>
  <c r="E59" i="25"/>
  <c r="D59" i="25"/>
  <c r="C59" i="25"/>
  <c r="B59" i="25"/>
  <c r="A59" i="25"/>
  <c r="S58" i="25"/>
  <c r="R58" i="25"/>
  <c r="Q58" i="25"/>
  <c r="P58" i="25"/>
  <c r="N152" i="1" s="1"/>
  <c r="O58" i="25"/>
  <c r="N58" i="25"/>
  <c r="M58" i="25"/>
  <c r="L58" i="25"/>
  <c r="J152" i="1" s="1"/>
  <c r="K58" i="25"/>
  <c r="J58" i="25"/>
  <c r="I58" i="25"/>
  <c r="H58" i="25"/>
  <c r="F152" i="1" s="1"/>
  <c r="G58" i="25"/>
  <c r="F58" i="25"/>
  <c r="E58" i="25"/>
  <c r="G152" i="3" s="1"/>
  <c r="D58" i="25"/>
  <c r="C58" i="25"/>
  <c r="B58" i="25"/>
  <c r="A58" i="25"/>
  <c r="S57" i="25"/>
  <c r="R57" i="25"/>
  <c r="Q57" i="25"/>
  <c r="P57" i="25"/>
  <c r="N151" i="1" s="1"/>
  <c r="O57" i="25"/>
  <c r="M151" i="1" s="1"/>
  <c r="N57" i="25"/>
  <c r="M57" i="25"/>
  <c r="L57" i="25"/>
  <c r="J151" i="1" s="1"/>
  <c r="K57" i="25"/>
  <c r="I151" i="1" s="1"/>
  <c r="J57" i="25"/>
  <c r="I57" i="25"/>
  <c r="H57" i="25"/>
  <c r="F151" i="1" s="1"/>
  <c r="G57" i="25"/>
  <c r="E151" i="1" s="1"/>
  <c r="F57" i="25"/>
  <c r="E57" i="25"/>
  <c r="D57" i="25"/>
  <c r="C57" i="25"/>
  <c r="E151" i="2" s="1"/>
  <c r="B57" i="25"/>
  <c r="A57" i="25"/>
  <c r="S56" i="25"/>
  <c r="R56" i="25"/>
  <c r="P150" i="1" s="1"/>
  <c r="Q56" i="25"/>
  <c r="P56" i="25"/>
  <c r="O56" i="25"/>
  <c r="N56" i="25"/>
  <c r="L150" i="1" s="1"/>
  <c r="M56" i="25"/>
  <c r="L56" i="25"/>
  <c r="K56" i="25"/>
  <c r="J56" i="25"/>
  <c r="H150" i="1" s="1"/>
  <c r="I56" i="25"/>
  <c r="H56" i="25"/>
  <c r="G56" i="25"/>
  <c r="F56" i="25"/>
  <c r="D150" i="1" s="1"/>
  <c r="E56" i="25"/>
  <c r="D56" i="25"/>
  <c r="C56" i="25"/>
  <c r="B56" i="25"/>
  <c r="D150" i="3" s="1"/>
  <c r="A56" i="25"/>
  <c r="S55" i="25"/>
  <c r="R55" i="25"/>
  <c r="Q55" i="25"/>
  <c r="O149" i="1" s="1"/>
  <c r="P55" i="25"/>
  <c r="O55" i="25"/>
  <c r="N55" i="25"/>
  <c r="M55" i="25"/>
  <c r="K149" i="1" s="1"/>
  <c r="L55" i="25"/>
  <c r="K55" i="25"/>
  <c r="J55" i="25"/>
  <c r="I55" i="25"/>
  <c r="G149" i="1" s="1"/>
  <c r="H55" i="25"/>
  <c r="G55" i="25"/>
  <c r="F55" i="25"/>
  <c r="E55" i="25"/>
  <c r="D55" i="25"/>
  <c r="C55" i="25"/>
  <c r="B55" i="25"/>
  <c r="D149" i="3" s="1"/>
  <c r="A55" i="25"/>
  <c r="S54" i="25"/>
  <c r="R54" i="25"/>
  <c r="Q54" i="25"/>
  <c r="P54" i="25"/>
  <c r="N148" i="1" s="1"/>
  <c r="O54" i="25"/>
  <c r="N54" i="25"/>
  <c r="M54" i="25"/>
  <c r="L54" i="25"/>
  <c r="J148" i="1" s="1"/>
  <c r="K54" i="25"/>
  <c r="J54" i="25"/>
  <c r="I54" i="25"/>
  <c r="H54" i="25"/>
  <c r="F148" i="1" s="1"/>
  <c r="G54" i="25"/>
  <c r="F54" i="25"/>
  <c r="E54" i="25"/>
  <c r="G148" i="3" s="1"/>
  <c r="D54" i="25"/>
  <c r="F148" i="3" s="1"/>
  <c r="C54" i="25"/>
  <c r="B54" i="25"/>
  <c r="A54" i="25"/>
  <c r="S53" i="25"/>
  <c r="Q147" i="1" s="1"/>
  <c r="R53" i="25"/>
  <c r="Q53" i="25"/>
  <c r="P53" i="25"/>
  <c r="N147" i="1" s="1"/>
  <c r="O53" i="25"/>
  <c r="M147" i="1" s="1"/>
  <c r="N53" i="25"/>
  <c r="M53" i="25"/>
  <c r="L53" i="25"/>
  <c r="J147" i="1" s="1"/>
  <c r="K53" i="25"/>
  <c r="I147" i="1" s="1"/>
  <c r="J53" i="25"/>
  <c r="I53" i="25"/>
  <c r="H53" i="25"/>
  <c r="F147" i="1" s="1"/>
  <c r="G53" i="25"/>
  <c r="E147" i="1" s="1"/>
  <c r="F53" i="25"/>
  <c r="E53" i="25"/>
  <c r="D53" i="25"/>
  <c r="C53" i="25"/>
  <c r="E147" i="2" s="1"/>
  <c r="B53" i="25"/>
  <c r="A53" i="25"/>
  <c r="S52" i="25"/>
  <c r="R52" i="25"/>
  <c r="P146" i="1" s="1"/>
  <c r="Q52" i="25"/>
  <c r="P52" i="25"/>
  <c r="O52" i="25"/>
  <c r="N52" i="25"/>
  <c r="L146" i="1" s="1"/>
  <c r="M52" i="25"/>
  <c r="L52" i="25"/>
  <c r="K52" i="25"/>
  <c r="J52" i="25"/>
  <c r="H146" i="1" s="1"/>
  <c r="I52" i="25"/>
  <c r="H52" i="25"/>
  <c r="G52" i="25"/>
  <c r="F52" i="25"/>
  <c r="D146" i="1" s="1"/>
  <c r="E52" i="25"/>
  <c r="D52" i="25"/>
  <c r="C52" i="25"/>
  <c r="E146" i="2" s="1"/>
  <c r="B52" i="25"/>
  <c r="D146" i="3" s="1"/>
  <c r="A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D145" i="3" s="1"/>
  <c r="A51" i="25"/>
  <c r="S50" i="25"/>
  <c r="R50" i="25"/>
  <c r="Q50" i="25"/>
  <c r="P50" i="25"/>
  <c r="N144" i="1" s="1"/>
  <c r="O50" i="25"/>
  <c r="N50" i="25"/>
  <c r="M50" i="25"/>
  <c r="L50" i="25"/>
  <c r="J144" i="1" s="1"/>
  <c r="K50" i="25"/>
  <c r="J50" i="25"/>
  <c r="I50" i="25"/>
  <c r="H50" i="25"/>
  <c r="F144" i="1" s="1"/>
  <c r="G50" i="25"/>
  <c r="F50" i="25"/>
  <c r="E50" i="25"/>
  <c r="G144" i="2" s="1"/>
  <c r="D50" i="25"/>
  <c r="F144" i="3" s="1"/>
  <c r="C50" i="25"/>
  <c r="B50" i="25"/>
  <c r="A50" i="25"/>
  <c r="S49" i="25"/>
  <c r="Q143" i="1" s="1"/>
  <c r="R49" i="25"/>
  <c r="Q49" i="25"/>
  <c r="P49" i="25"/>
  <c r="N143" i="1" s="1"/>
  <c r="O49" i="25"/>
  <c r="M143" i="1" s="1"/>
  <c r="N49" i="25"/>
  <c r="M49" i="25"/>
  <c r="L49" i="25"/>
  <c r="J143" i="1" s="1"/>
  <c r="K49" i="25"/>
  <c r="I143" i="1" s="1"/>
  <c r="J49" i="25"/>
  <c r="I49" i="25"/>
  <c r="H49" i="25"/>
  <c r="F143" i="1" s="1"/>
  <c r="G49" i="25"/>
  <c r="E143" i="1" s="1"/>
  <c r="F49" i="25"/>
  <c r="E49" i="25"/>
  <c r="D49" i="25"/>
  <c r="F143" i="3" s="1"/>
  <c r="C49" i="25"/>
  <c r="E143" i="2" s="1"/>
  <c r="B49" i="25"/>
  <c r="A49" i="25"/>
  <c r="S48" i="25"/>
  <c r="R48" i="25"/>
  <c r="P142" i="1" s="1"/>
  <c r="Q48" i="25"/>
  <c r="P48" i="25"/>
  <c r="O48" i="25"/>
  <c r="N48" i="25"/>
  <c r="L142" i="1" s="1"/>
  <c r="M48" i="25"/>
  <c r="L48" i="25"/>
  <c r="K48" i="25"/>
  <c r="J48" i="25"/>
  <c r="H142" i="1" s="1"/>
  <c r="I48" i="25"/>
  <c r="H48" i="25"/>
  <c r="G48" i="25"/>
  <c r="F48" i="25"/>
  <c r="D142" i="1" s="1"/>
  <c r="E48" i="25"/>
  <c r="D48" i="25"/>
  <c r="C48" i="25"/>
  <c r="E142" i="2" s="1"/>
  <c r="B48" i="25"/>
  <c r="D142" i="3" s="1"/>
  <c r="A48" i="25"/>
  <c r="S47" i="25"/>
  <c r="R47" i="25"/>
  <c r="Q47" i="25"/>
  <c r="O141" i="1" s="1"/>
  <c r="P47" i="25"/>
  <c r="O47" i="25"/>
  <c r="N47" i="25"/>
  <c r="M47" i="25"/>
  <c r="K141" i="1" s="1"/>
  <c r="L47" i="25"/>
  <c r="K47" i="25"/>
  <c r="J47" i="25"/>
  <c r="I47" i="25"/>
  <c r="G141" i="1" s="1"/>
  <c r="H47" i="25"/>
  <c r="G47" i="25"/>
  <c r="F47" i="25"/>
  <c r="E47" i="25"/>
  <c r="D47" i="25"/>
  <c r="C47" i="25"/>
  <c r="B47" i="25"/>
  <c r="D141" i="3" s="1"/>
  <c r="A47" i="25"/>
  <c r="S46" i="25"/>
  <c r="R46" i="25"/>
  <c r="Q46" i="25"/>
  <c r="P46" i="25"/>
  <c r="N140" i="1" s="1"/>
  <c r="O46" i="25"/>
  <c r="N46" i="25"/>
  <c r="M46" i="25"/>
  <c r="L46" i="25"/>
  <c r="J140" i="1" s="1"/>
  <c r="K46" i="25"/>
  <c r="J46" i="25"/>
  <c r="I46" i="25"/>
  <c r="H46" i="25"/>
  <c r="F140" i="1" s="1"/>
  <c r="G46" i="25"/>
  <c r="F46" i="25"/>
  <c r="E46" i="25"/>
  <c r="D46" i="25"/>
  <c r="C46" i="25"/>
  <c r="B46" i="25"/>
  <c r="A46" i="25"/>
  <c r="S45" i="25"/>
  <c r="Q139" i="1" s="1"/>
  <c r="R45" i="25"/>
  <c r="Q45" i="25"/>
  <c r="P45" i="25"/>
  <c r="N139" i="1" s="1"/>
  <c r="O45" i="25"/>
  <c r="M139" i="1" s="1"/>
  <c r="N45" i="25"/>
  <c r="M45" i="25"/>
  <c r="L45" i="25"/>
  <c r="J139" i="1" s="1"/>
  <c r="K45" i="25"/>
  <c r="I139" i="1" s="1"/>
  <c r="J45" i="25"/>
  <c r="I45" i="25"/>
  <c r="H45" i="25"/>
  <c r="F139" i="1" s="1"/>
  <c r="G45" i="25"/>
  <c r="F45" i="25"/>
  <c r="E45" i="25"/>
  <c r="D45" i="25"/>
  <c r="F139" i="3" s="1"/>
  <c r="C45" i="25"/>
  <c r="E139" i="2" s="1"/>
  <c r="B45" i="25"/>
  <c r="A45" i="25"/>
  <c r="S44" i="25"/>
  <c r="R44" i="25"/>
  <c r="P138" i="1" s="1"/>
  <c r="Q44" i="25"/>
  <c r="P44" i="25"/>
  <c r="O44" i="25"/>
  <c r="N44" i="25"/>
  <c r="L138" i="1" s="1"/>
  <c r="M44" i="25"/>
  <c r="L44" i="25"/>
  <c r="K44" i="25"/>
  <c r="J44" i="25"/>
  <c r="H138" i="1" s="1"/>
  <c r="I44" i="25"/>
  <c r="H44" i="25"/>
  <c r="G44" i="25"/>
  <c r="F44" i="25"/>
  <c r="D138" i="1" s="1"/>
  <c r="E44" i="25"/>
  <c r="D44" i="25"/>
  <c r="C44" i="25"/>
  <c r="B44" i="25"/>
  <c r="A44" i="25"/>
  <c r="S43" i="25"/>
  <c r="R43" i="25"/>
  <c r="Q43" i="25"/>
  <c r="O137" i="1" s="1"/>
  <c r="P43" i="25"/>
  <c r="O43" i="25"/>
  <c r="N43" i="25"/>
  <c r="M43" i="25"/>
  <c r="K137" i="1" s="1"/>
  <c r="L43" i="25"/>
  <c r="K43" i="25"/>
  <c r="J43" i="25"/>
  <c r="I43" i="25"/>
  <c r="G137" i="1" s="1"/>
  <c r="H43" i="25"/>
  <c r="G43" i="25"/>
  <c r="F43" i="25"/>
  <c r="E43" i="25"/>
  <c r="D43" i="25"/>
  <c r="C43" i="25"/>
  <c r="B43" i="25"/>
  <c r="A43" i="25"/>
  <c r="S42" i="25"/>
  <c r="R42" i="25"/>
  <c r="Q42" i="25"/>
  <c r="P42" i="25"/>
  <c r="N136" i="1" s="1"/>
  <c r="O42" i="25"/>
  <c r="N42" i="25"/>
  <c r="M42" i="25"/>
  <c r="L42" i="25"/>
  <c r="J136" i="1" s="1"/>
  <c r="K42" i="25"/>
  <c r="J42" i="25"/>
  <c r="I42" i="25"/>
  <c r="H42" i="25"/>
  <c r="F136" i="1" s="1"/>
  <c r="G42" i="25"/>
  <c r="F42" i="25"/>
  <c r="E42" i="25"/>
  <c r="G136" i="3" s="1"/>
  <c r="D42" i="25"/>
  <c r="C42" i="25"/>
  <c r="B42" i="25"/>
  <c r="A42" i="25"/>
  <c r="S41" i="25"/>
  <c r="Q135" i="1" s="1"/>
  <c r="R41" i="25"/>
  <c r="Q41" i="25"/>
  <c r="P41" i="25"/>
  <c r="N135" i="1" s="1"/>
  <c r="O41" i="25"/>
  <c r="M135" i="1" s="1"/>
  <c r="N41" i="25"/>
  <c r="M41" i="25"/>
  <c r="L41" i="25"/>
  <c r="J135" i="1" s="1"/>
  <c r="K41" i="25"/>
  <c r="I135" i="1" s="1"/>
  <c r="J41" i="25"/>
  <c r="I41" i="25"/>
  <c r="H41" i="25"/>
  <c r="F135" i="1" s="1"/>
  <c r="G41" i="25"/>
  <c r="E135" i="1" s="1"/>
  <c r="F41" i="25"/>
  <c r="E41" i="25"/>
  <c r="D41" i="25"/>
  <c r="F135" i="2" s="1"/>
  <c r="C41" i="25"/>
  <c r="E135" i="2" s="1"/>
  <c r="B41" i="25"/>
  <c r="A41" i="25"/>
  <c r="S40" i="25"/>
  <c r="R40" i="25"/>
  <c r="P134" i="1" s="1"/>
  <c r="Q40" i="25"/>
  <c r="P40" i="25"/>
  <c r="O40" i="25"/>
  <c r="N40" i="25"/>
  <c r="L134" i="1" s="1"/>
  <c r="M40" i="25"/>
  <c r="L40" i="25"/>
  <c r="K40" i="25"/>
  <c r="J40" i="25"/>
  <c r="H134" i="1" s="1"/>
  <c r="I40" i="25"/>
  <c r="H40" i="25"/>
  <c r="G40" i="25"/>
  <c r="F40" i="25"/>
  <c r="D134" i="1" s="1"/>
  <c r="E40" i="25"/>
  <c r="D40" i="25"/>
  <c r="C40" i="25"/>
  <c r="E134" i="2" s="1"/>
  <c r="B40" i="25"/>
  <c r="A40" i="25"/>
  <c r="S39" i="25"/>
  <c r="R39" i="25"/>
  <c r="Q39" i="25"/>
  <c r="O133" i="1" s="1"/>
  <c r="P39" i="25"/>
  <c r="O39" i="25"/>
  <c r="N39" i="25"/>
  <c r="M39" i="25"/>
  <c r="K133" i="1" s="1"/>
  <c r="L39" i="25"/>
  <c r="K39" i="25"/>
  <c r="J39" i="25"/>
  <c r="I39" i="25"/>
  <c r="G133" i="1" s="1"/>
  <c r="H39" i="25"/>
  <c r="G39" i="25"/>
  <c r="F39" i="25"/>
  <c r="E39" i="25"/>
  <c r="D39" i="25"/>
  <c r="C39" i="25"/>
  <c r="B39" i="25"/>
  <c r="D133" i="3" s="1"/>
  <c r="A39" i="25"/>
  <c r="S38" i="25"/>
  <c r="R38" i="25"/>
  <c r="Q38" i="25"/>
  <c r="P38" i="25"/>
  <c r="N132" i="1" s="1"/>
  <c r="O38" i="25"/>
  <c r="N38" i="25"/>
  <c r="M38" i="25"/>
  <c r="L38" i="25"/>
  <c r="J132" i="1" s="1"/>
  <c r="K38" i="25"/>
  <c r="J38" i="25"/>
  <c r="I38" i="25"/>
  <c r="H38" i="25"/>
  <c r="F132" i="1" s="1"/>
  <c r="G38" i="25"/>
  <c r="F38" i="25"/>
  <c r="E38" i="25"/>
  <c r="G132" i="3" s="1"/>
  <c r="D38" i="25"/>
  <c r="C38" i="25"/>
  <c r="B38" i="25"/>
  <c r="A38" i="25"/>
  <c r="S37" i="25"/>
  <c r="Q131" i="1" s="1"/>
  <c r="R37" i="25"/>
  <c r="Q37" i="25"/>
  <c r="P37" i="25"/>
  <c r="N131" i="1" s="1"/>
  <c r="O37" i="25"/>
  <c r="N37" i="25"/>
  <c r="M37" i="25"/>
  <c r="L37" i="25"/>
  <c r="J131" i="1" s="1"/>
  <c r="K37" i="25"/>
  <c r="I131" i="1" s="1"/>
  <c r="J37" i="25"/>
  <c r="I37" i="25"/>
  <c r="H37" i="25"/>
  <c r="F131" i="1" s="1"/>
  <c r="G37" i="25"/>
  <c r="E131" i="1" s="1"/>
  <c r="F37" i="25"/>
  <c r="E37" i="25"/>
  <c r="D37" i="25"/>
  <c r="C37" i="25"/>
  <c r="E131" i="2" s="1"/>
  <c r="B37" i="25"/>
  <c r="A37" i="25"/>
  <c r="S36" i="25"/>
  <c r="R36" i="25"/>
  <c r="P130" i="1" s="1"/>
  <c r="Q36" i="25"/>
  <c r="P36" i="25"/>
  <c r="O36" i="25"/>
  <c r="N36" i="25"/>
  <c r="L130" i="1" s="1"/>
  <c r="M36" i="25"/>
  <c r="L36" i="25"/>
  <c r="K36" i="25"/>
  <c r="J36" i="25"/>
  <c r="H130" i="1" s="1"/>
  <c r="I36" i="25"/>
  <c r="H36" i="25"/>
  <c r="G36" i="25"/>
  <c r="F36" i="25"/>
  <c r="D130" i="1" s="1"/>
  <c r="E36" i="25"/>
  <c r="D36" i="25"/>
  <c r="C36" i="25"/>
  <c r="E130" i="2" s="1"/>
  <c r="B36" i="25"/>
  <c r="A36" i="25"/>
  <c r="S35" i="25"/>
  <c r="R35" i="25"/>
  <c r="Q35" i="25"/>
  <c r="O129" i="1" s="1"/>
  <c r="P35" i="25"/>
  <c r="O35" i="25"/>
  <c r="N35" i="25"/>
  <c r="M35" i="25"/>
  <c r="K129" i="1" s="1"/>
  <c r="L35" i="25"/>
  <c r="K35" i="25"/>
  <c r="J35" i="25"/>
  <c r="I35" i="25"/>
  <c r="G129" i="1" s="1"/>
  <c r="H35" i="25"/>
  <c r="G35" i="25"/>
  <c r="F35" i="25"/>
  <c r="E35" i="25"/>
  <c r="D35" i="25"/>
  <c r="C35" i="25"/>
  <c r="B35" i="25"/>
  <c r="A35" i="25"/>
  <c r="S34" i="25"/>
  <c r="R34" i="25"/>
  <c r="Q34" i="25"/>
  <c r="P34" i="25"/>
  <c r="N128" i="1" s="1"/>
  <c r="O34" i="25"/>
  <c r="N34" i="25"/>
  <c r="M34" i="25"/>
  <c r="L34" i="25"/>
  <c r="J128" i="1" s="1"/>
  <c r="K34" i="25"/>
  <c r="J34" i="25"/>
  <c r="I34" i="25"/>
  <c r="H34" i="25"/>
  <c r="F128" i="1" s="1"/>
  <c r="G34" i="25"/>
  <c r="F34" i="25"/>
  <c r="E34" i="25"/>
  <c r="D34" i="25"/>
  <c r="C34" i="25"/>
  <c r="B34" i="25"/>
  <c r="A34" i="25"/>
  <c r="S33" i="25"/>
  <c r="Q127" i="1" s="1"/>
  <c r="R33" i="25"/>
  <c r="Q33" i="25"/>
  <c r="P33" i="25"/>
  <c r="N127" i="1" s="1"/>
  <c r="O33" i="25"/>
  <c r="M127" i="1" s="1"/>
  <c r="N33" i="25"/>
  <c r="M33" i="25"/>
  <c r="L33" i="25"/>
  <c r="J127" i="1" s="1"/>
  <c r="K33" i="25"/>
  <c r="I127" i="1" s="1"/>
  <c r="J33" i="25"/>
  <c r="I33" i="25"/>
  <c r="H33" i="25"/>
  <c r="F127" i="1" s="1"/>
  <c r="G33" i="25"/>
  <c r="E127" i="1" s="1"/>
  <c r="F33" i="25"/>
  <c r="E33" i="25"/>
  <c r="D33" i="25"/>
  <c r="F127" i="3" s="1"/>
  <c r="C33" i="25"/>
  <c r="E127" i="2" s="1"/>
  <c r="B33" i="25"/>
  <c r="A33" i="25"/>
  <c r="S32" i="25"/>
  <c r="R32" i="25"/>
  <c r="P126" i="1" s="1"/>
  <c r="Q32" i="25"/>
  <c r="P32" i="25"/>
  <c r="O32" i="25"/>
  <c r="N32" i="25"/>
  <c r="L126" i="1" s="1"/>
  <c r="M32" i="25"/>
  <c r="L32" i="25"/>
  <c r="K32" i="25"/>
  <c r="J32" i="25"/>
  <c r="H126" i="1" s="1"/>
  <c r="I32" i="25"/>
  <c r="H32" i="25"/>
  <c r="G32" i="25"/>
  <c r="F32" i="25"/>
  <c r="D126" i="1" s="1"/>
  <c r="E32" i="25"/>
  <c r="D32" i="25"/>
  <c r="C32" i="25"/>
  <c r="E126" i="2" s="1"/>
  <c r="B32" i="25"/>
  <c r="A32" i="25"/>
  <c r="S31" i="25"/>
  <c r="R31" i="25"/>
  <c r="Q31" i="25"/>
  <c r="O125" i="1" s="1"/>
  <c r="P31" i="25"/>
  <c r="O31" i="25"/>
  <c r="N31" i="25"/>
  <c r="M31" i="25"/>
  <c r="K125" i="1" s="1"/>
  <c r="L31" i="25"/>
  <c r="K31" i="25"/>
  <c r="J31" i="25"/>
  <c r="I31" i="25"/>
  <c r="G125" i="1" s="1"/>
  <c r="H31" i="25"/>
  <c r="G31" i="25"/>
  <c r="F31" i="25"/>
  <c r="E31" i="25"/>
  <c r="D31" i="25"/>
  <c r="C31" i="25"/>
  <c r="B31" i="25"/>
  <c r="A31" i="25"/>
  <c r="S30" i="25"/>
  <c r="R30" i="25"/>
  <c r="Q30" i="25"/>
  <c r="P30" i="25"/>
  <c r="N124" i="1" s="1"/>
  <c r="O30" i="25"/>
  <c r="N30" i="25"/>
  <c r="M30" i="25"/>
  <c r="L30" i="25"/>
  <c r="J124" i="1" s="1"/>
  <c r="K30" i="25"/>
  <c r="J30" i="25"/>
  <c r="I30" i="25"/>
  <c r="H30" i="25"/>
  <c r="F124" i="1" s="1"/>
  <c r="G30" i="25"/>
  <c r="F30" i="25"/>
  <c r="E30" i="25"/>
  <c r="D30" i="25"/>
  <c r="C30" i="25"/>
  <c r="B30" i="25"/>
  <c r="A30" i="25"/>
  <c r="S29" i="25"/>
  <c r="Q123" i="1" s="1"/>
  <c r="R29" i="25"/>
  <c r="Q29" i="25"/>
  <c r="P29" i="25"/>
  <c r="N123" i="1" s="1"/>
  <c r="O29" i="25"/>
  <c r="M123" i="1" s="1"/>
  <c r="N29" i="25"/>
  <c r="M29" i="25"/>
  <c r="L29" i="25"/>
  <c r="J123" i="1" s="1"/>
  <c r="K29" i="25"/>
  <c r="I123" i="1" s="1"/>
  <c r="J29" i="25"/>
  <c r="I29" i="25"/>
  <c r="H29" i="25"/>
  <c r="F123" i="1" s="1"/>
  <c r="G29" i="25"/>
  <c r="E123" i="1" s="1"/>
  <c r="F29" i="25"/>
  <c r="E29" i="25"/>
  <c r="D29" i="25"/>
  <c r="F123" i="3" s="1"/>
  <c r="C29" i="25"/>
  <c r="E123" i="2" s="1"/>
  <c r="B29" i="25"/>
  <c r="A29" i="25"/>
  <c r="S28" i="25"/>
  <c r="R28" i="25"/>
  <c r="P122" i="1" s="1"/>
  <c r="Q28" i="25"/>
  <c r="P28" i="25"/>
  <c r="O28" i="25"/>
  <c r="N28" i="25"/>
  <c r="L122" i="1" s="1"/>
  <c r="M28" i="25"/>
  <c r="L28" i="25"/>
  <c r="K28" i="25"/>
  <c r="J28" i="25"/>
  <c r="H122" i="1" s="1"/>
  <c r="I28" i="25"/>
  <c r="H28" i="25"/>
  <c r="G28" i="25"/>
  <c r="F28" i="25"/>
  <c r="D122" i="1" s="1"/>
  <c r="E28" i="25"/>
  <c r="D28" i="25"/>
  <c r="C28" i="25"/>
  <c r="E122" i="2" s="1"/>
  <c r="B28" i="25"/>
  <c r="A28" i="25"/>
  <c r="S27" i="25"/>
  <c r="R27" i="25"/>
  <c r="Q27" i="25"/>
  <c r="O121" i="1" s="1"/>
  <c r="P27" i="25"/>
  <c r="O27" i="25"/>
  <c r="N27" i="25"/>
  <c r="M27" i="25"/>
  <c r="K121" i="1" s="1"/>
  <c r="L27" i="25"/>
  <c r="K27" i="25"/>
  <c r="J27" i="25"/>
  <c r="I27" i="25"/>
  <c r="G121" i="1" s="1"/>
  <c r="H27" i="25"/>
  <c r="G27" i="25"/>
  <c r="F27" i="25"/>
  <c r="E27" i="25"/>
  <c r="D27" i="25"/>
  <c r="C27" i="25"/>
  <c r="B27" i="25"/>
  <c r="A27" i="25"/>
  <c r="S26" i="25"/>
  <c r="R26" i="25"/>
  <c r="Q26" i="25"/>
  <c r="P26" i="25"/>
  <c r="N120" i="1" s="1"/>
  <c r="O26" i="25"/>
  <c r="N26" i="25"/>
  <c r="M26" i="25"/>
  <c r="L26" i="25"/>
  <c r="J120" i="1" s="1"/>
  <c r="K26" i="25"/>
  <c r="J26" i="25"/>
  <c r="I26" i="25"/>
  <c r="H26" i="25"/>
  <c r="F120" i="1" s="1"/>
  <c r="G26" i="25"/>
  <c r="F26" i="25"/>
  <c r="E26" i="25"/>
  <c r="D26" i="25"/>
  <c r="C26" i="25"/>
  <c r="B26" i="25"/>
  <c r="A26" i="25"/>
  <c r="S25" i="25"/>
  <c r="R25" i="25"/>
  <c r="Q25" i="25"/>
  <c r="P25" i="25"/>
  <c r="N119" i="1" s="1"/>
  <c r="O25" i="25"/>
  <c r="M119" i="1" s="1"/>
  <c r="N25" i="25"/>
  <c r="M25" i="25"/>
  <c r="L25" i="25"/>
  <c r="J119" i="1" s="1"/>
  <c r="K25" i="25"/>
  <c r="I119" i="1" s="1"/>
  <c r="J25" i="25"/>
  <c r="I25" i="25"/>
  <c r="H25" i="25"/>
  <c r="F119" i="1" s="1"/>
  <c r="G25" i="25"/>
  <c r="E119" i="1" s="1"/>
  <c r="F25" i="25"/>
  <c r="E25" i="25"/>
  <c r="D25" i="25"/>
  <c r="F119" i="3" s="1"/>
  <c r="C25" i="25"/>
  <c r="E119" i="2" s="1"/>
  <c r="B25" i="25"/>
  <c r="A25" i="25"/>
  <c r="S24" i="25"/>
  <c r="R24" i="25"/>
  <c r="P118" i="1" s="1"/>
  <c r="Q24" i="25"/>
  <c r="P24" i="25"/>
  <c r="O24" i="25"/>
  <c r="N24" i="25"/>
  <c r="L118" i="1" s="1"/>
  <c r="M24" i="25"/>
  <c r="L24" i="25"/>
  <c r="K24" i="25"/>
  <c r="J24" i="25"/>
  <c r="H118" i="1" s="1"/>
  <c r="I24" i="25"/>
  <c r="H24" i="25"/>
  <c r="G24" i="25"/>
  <c r="F24" i="25"/>
  <c r="D118" i="1" s="1"/>
  <c r="E24" i="25"/>
  <c r="D24" i="25"/>
  <c r="C24" i="25"/>
  <c r="E118" i="2" s="1"/>
  <c r="B24" i="25"/>
  <c r="A24" i="25"/>
  <c r="S23" i="25"/>
  <c r="R23" i="25"/>
  <c r="Q23" i="25"/>
  <c r="O117" i="1" s="1"/>
  <c r="P23" i="25"/>
  <c r="O23" i="25"/>
  <c r="N23" i="25"/>
  <c r="M23" i="25"/>
  <c r="K117" i="1" s="1"/>
  <c r="L23" i="25"/>
  <c r="K23" i="25"/>
  <c r="J23" i="25"/>
  <c r="I23" i="25"/>
  <c r="G117" i="1" s="1"/>
  <c r="H23" i="25"/>
  <c r="G23" i="25"/>
  <c r="F23" i="25"/>
  <c r="E23" i="25"/>
  <c r="D23" i="25"/>
  <c r="C23" i="25"/>
  <c r="B23" i="25"/>
  <c r="A23" i="25"/>
  <c r="S22" i="25"/>
  <c r="R22" i="25"/>
  <c r="Q22" i="25"/>
  <c r="P22" i="25"/>
  <c r="N116" i="1" s="1"/>
  <c r="O22" i="25"/>
  <c r="N22" i="25"/>
  <c r="M22" i="25"/>
  <c r="L22" i="25"/>
  <c r="J116" i="1" s="1"/>
  <c r="K22" i="25"/>
  <c r="J22" i="25"/>
  <c r="I22" i="25"/>
  <c r="H22" i="25"/>
  <c r="F116" i="1" s="1"/>
  <c r="G22" i="25"/>
  <c r="F22" i="25"/>
  <c r="E22" i="25"/>
  <c r="D22" i="25"/>
  <c r="C22" i="25"/>
  <c r="B22" i="25"/>
  <c r="A22" i="25"/>
  <c r="S21" i="25"/>
  <c r="Q115" i="1" s="1"/>
  <c r="R21" i="25"/>
  <c r="Q21" i="25"/>
  <c r="P21" i="25"/>
  <c r="N115" i="1" s="1"/>
  <c r="O21" i="25"/>
  <c r="M115" i="1" s="1"/>
  <c r="N21" i="25"/>
  <c r="M21" i="25"/>
  <c r="L21" i="25"/>
  <c r="J115" i="1" s="1"/>
  <c r="K21" i="25"/>
  <c r="I115" i="1" s="1"/>
  <c r="J21" i="25"/>
  <c r="I21" i="25"/>
  <c r="H21" i="25"/>
  <c r="F115" i="1" s="1"/>
  <c r="G21" i="25"/>
  <c r="E115" i="1" s="1"/>
  <c r="F21" i="25"/>
  <c r="E21" i="25"/>
  <c r="D21" i="25"/>
  <c r="C21" i="25"/>
  <c r="E115" i="2" s="1"/>
  <c r="B21" i="25"/>
  <c r="A21" i="25"/>
  <c r="S20" i="25"/>
  <c r="R20" i="25"/>
  <c r="P114" i="1" s="1"/>
  <c r="Q20" i="25"/>
  <c r="P20" i="25"/>
  <c r="O20" i="25"/>
  <c r="N20" i="25"/>
  <c r="L114" i="1" s="1"/>
  <c r="M20" i="25"/>
  <c r="L20" i="25"/>
  <c r="K20" i="25"/>
  <c r="J20" i="25"/>
  <c r="H114" i="1" s="1"/>
  <c r="I20" i="25"/>
  <c r="H20" i="25"/>
  <c r="G20" i="25"/>
  <c r="F20" i="25"/>
  <c r="D114" i="1" s="1"/>
  <c r="E20" i="25"/>
  <c r="D20" i="25"/>
  <c r="C20" i="25"/>
  <c r="E114" i="2" s="1"/>
  <c r="B20" i="25"/>
  <c r="A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A19" i="25"/>
  <c r="S18" i="25"/>
  <c r="R18" i="25"/>
  <c r="Q18" i="25"/>
  <c r="P18" i="25"/>
  <c r="N112" i="1" s="1"/>
  <c r="O18" i="25"/>
  <c r="N18" i="25"/>
  <c r="M18" i="25"/>
  <c r="L18" i="25"/>
  <c r="J112" i="1" s="1"/>
  <c r="K18" i="25"/>
  <c r="J18" i="25"/>
  <c r="I18" i="25"/>
  <c r="H18" i="25"/>
  <c r="F112" i="1" s="1"/>
  <c r="G18" i="25"/>
  <c r="F18" i="25"/>
  <c r="E18" i="25"/>
  <c r="G112" i="2" s="1"/>
  <c r="D18" i="25"/>
  <c r="C18" i="25"/>
  <c r="B18" i="25"/>
  <c r="A18" i="25"/>
  <c r="S17" i="25"/>
  <c r="Q111" i="1" s="1"/>
  <c r="R17" i="25"/>
  <c r="Q17" i="25"/>
  <c r="P17" i="25"/>
  <c r="N111" i="1" s="1"/>
  <c r="O17" i="25"/>
  <c r="M111" i="1" s="1"/>
  <c r="N17" i="25"/>
  <c r="M17" i="25"/>
  <c r="L17" i="25"/>
  <c r="J111" i="1" s="1"/>
  <c r="K17" i="25"/>
  <c r="I111" i="1" s="1"/>
  <c r="J17" i="25"/>
  <c r="I17" i="25"/>
  <c r="H17" i="25"/>
  <c r="F111" i="1" s="1"/>
  <c r="G17" i="25"/>
  <c r="E111" i="1" s="1"/>
  <c r="F17" i="25"/>
  <c r="E17" i="25"/>
  <c r="D17" i="25"/>
  <c r="F111" i="3" s="1"/>
  <c r="C17" i="25"/>
  <c r="E111" i="2" s="1"/>
  <c r="B17" i="25"/>
  <c r="A17" i="25"/>
  <c r="S16" i="25"/>
  <c r="R16" i="25"/>
  <c r="P110" i="1" s="1"/>
  <c r="Q16" i="25"/>
  <c r="P16" i="25"/>
  <c r="O16" i="25"/>
  <c r="N16" i="25"/>
  <c r="L110" i="1" s="1"/>
  <c r="M16" i="25"/>
  <c r="L16" i="25"/>
  <c r="K16" i="25"/>
  <c r="J16" i="25"/>
  <c r="H110" i="1" s="1"/>
  <c r="I16" i="25"/>
  <c r="H16" i="25"/>
  <c r="G16" i="25"/>
  <c r="F16" i="25"/>
  <c r="D110" i="1" s="1"/>
  <c r="E16" i="25"/>
  <c r="D16" i="25"/>
  <c r="C16" i="25"/>
  <c r="E110" i="2" s="1"/>
  <c r="B16" i="25"/>
  <c r="A16" i="25"/>
  <c r="S15" i="25"/>
  <c r="R15" i="25"/>
  <c r="Q15" i="25"/>
  <c r="O109" i="1" s="1"/>
  <c r="P15" i="25"/>
  <c r="O15" i="25"/>
  <c r="N15" i="25"/>
  <c r="M15" i="25"/>
  <c r="K109" i="1" s="1"/>
  <c r="L15" i="25"/>
  <c r="K15" i="25"/>
  <c r="J15" i="25"/>
  <c r="I15" i="25"/>
  <c r="G109" i="1" s="1"/>
  <c r="H15" i="25"/>
  <c r="G15" i="25"/>
  <c r="F15" i="25"/>
  <c r="E15" i="25"/>
  <c r="D15" i="25"/>
  <c r="C15" i="25"/>
  <c r="B15" i="25"/>
  <c r="A15" i="25"/>
  <c r="S14" i="25"/>
  <c r="R14" i="25"/>
  <c r="Q14" i="25"/>
  <c r="P14" i="25"/>
  <c r="N108" i="1" s="1"/>
  <c r="O14" i="25"/>
  <c r="N14" i="25"/>
  <c r="M14" i="25"/>
  <c r="L14" i="25"/>
  <c r="J108" i="1" s="1"/>
  <c r="K14" i="25"/>
  <c r="J14" i="25"/>
  <c r="I14" i="25"/>
  <c r="H14" i="25"/>
  <c r="F108" i="1" s="1"/>
  <c r="G14" i="25"/>
  <c r="F14" i="25"/>
  <c r="E14" i="25"/>
  <c r="D14" i="25"/>
  <c r="C14" i="25"/>
  <c r="B14" i="25"/>
  <c r="A14" i="25"/>
  <c r="S13" i="25"/>
  <c r="Q107" i="1" s="1"/>
  <c r="R13" i="25"/>
  <c r="Q13" i="25"/>
  <c r="P13" i="25"/>
  <c r="N107" i="1" s="1"/>
  <c r="O13" i="25"/>
  <c r="M107" i="1" s="1"/>
  <c r="N13" i="25"/>
  <c r="M13" i="25"/>
  <c r="L13" i="25"/>
  <c r="J107" i="1" s="1"/>
  <c r="K13" i="25"/>
  <c r="I107" i="1" s="1"/>
  <c r="J13" i="25"/>
  <c r="I13" i="25"/>
  <c r="H13" i="25"/>
  <c r="F107" i="1" s="1"/>
  <c r="G13" i="25"/>
  <c r="F13" i="25"/>
  <c r="E13" i="25"/>
  <c r="D13" i="25"/>
  <c r="F107" i="3" s="1"/>
  <c r="C13" i="25"/>
  <c r="E107" i="2" s="1"/>
  <c r="B13" i="25"/>
  <c r="A13" i="25"/>
  <c r="S12" i="25"/>
  <c r="R12" i="25"/>
  <c r="P106" i="1" s="1"/>
  <c r="Q12" i="25"/>
  <c r="P12" i="25"/>
  <c r="O12" i="25"/>
  <c r="N12" i="25"/>
  <c r="L106" i="1" s="1"/>
  <c r="M12" i="25"/>
  <c r="L12" i="25"/>
  <c r="K12" i="25"/>
  <c r="J12" i="25"/>
  <c r="H106" i="1" s="1"/>
  <c r="I12" i="25"/>
  <c r="H12" i="25"/>
  <c r="G12" i="25"/>
  <c r="F12" i="25"/>
  <c r="D106" i="1" s="1"/>
  <c r="E12" i="25"/>
  <c r="D12" i="25"/>
  <c r="C12" i="25"/>
  <c r="E106" i="2" s="1"/>
  <c r="B12" i="25"/>
  <c r="A12" i="25"/>
  <c r="S11" i="25"/>
  <c r="R11" i="25"/>
  <c r="Q11" i="25"/>
  <c r="O105" i="1" s="1"/>
  <c r="P11" i="25"/>
  <c r="O11" i="25"/>
  <c r="N11" i="25"/>
  <c r="M11" i="25"/>
  <c r="K105" i="1" s="1"/>
  <c r="L11" i="25"/>
  <c r="K11" i="25"/>
  <c r="J11" i="25"/>
  <c r="I11" i="25"/>
  <c r="G105" i="1" s="1"/>
  <c r="H11" i="25"/>
  <c r="G11" i="25"/>
  <c r="F11" i="25"/>
  <c r="E11" i="25"/>
  <c r="D11" i="25"/>
  <c r="C11" i="25"/>
  <c r="B11" i="25"/>
  <c r="A11" i="25"/>
  <c r="S10" i="25"/>
  <c r="R10" i="25"/>
  <c r="Q10" i="25"/>
  <c r="P10" i="25"/>
  <c r="N104" i="1" s="1"/>
  <c r="O10" i="25"/>
  <c r="N10" i="25"/>
  <c r="M10" i="25"/>
  <c r="L10" i="25"/>
  <c r="J104" i="1" s="1"/>
  <c r="K10" i="25"/>
  <c r="J10" i="25"/>
  <c r="I10" i="25"/>
  <c r="H10" i="25"/>
  <c r="F104" i="1" s="1"/>
  <c r="G10" i="25"/>
  <c r="F10" i="25"/>
  <c r="E10" i="25"/>
  <c r="D10" i="25"/>
  <c r="C10" i="25"/>
  <c r="B10" i="25"/>
  <c r="A10" i="25"/>
  <c r="S9" i="25"/>
  <c r="Q103" i="1" s="1"/>
  <c r="R9" i="25"/>
  <c r="Q9" i="25"/>
  <c r="P9" i="25"/>
  <c r="N103" i="1" s="1"/>
  <c r="O9" i="25"/>
  <c r="M103" i="1" s="1"/>
  <c r="N9" i="25"/>
  <c r="M9" i="25"/>
  <c r="L9" i="25"/>
  <c r="J103" i="1" s="1"/>
  <c r="K9" i="25"/>
  <c r="I103" i="1" s="1"/>
  <c r="J9" i="25"/>
  <c r="I9" i="25"/>
  <c r="H9" i="25"/>
  <c r="F103" i="1" s="1"/>
  <c r="G9" i="25"/>
  <c r="E103" i="1" s="1"/>
  <c r="F9" i="25"/>
  <c r="E9" i="25"/>
  <c r="D9" i="25"/>
  <c r="F103" i="3" s="1"/>
  <c r="C9" i="25"/>
  <c r="E103" i="2" s="1"/>
  <c r="B9" i="25"/>
  <c r="A9" i="25"/>
  <c r="S8" i="25"/>
  <c r="R8" i="25"/>
  <c r="P102" i="1" s="1"/>
  <c r="Q8" i="25"/>
  <c r="P8" i="25"/>
  <c r="O8" i="25"/>
  <c r="N8" i="25"/>
  <c r="L102" i="1" s="1"/>
  <c r="M8" i="25"/>
  <c r="L8" i="25"/>
  <c r="K8" i="25"/>
  <c r="J8" i="25"/>
  <c r="H102" i="1" s="1"/>
  <c r="I8" i="25"/>
  <c r="H8" i="25"/>
  <c r="G8" i="25"/>
  <c r="F8" i="25"/>
  <c r="D102" i="1" s="1"/>
  <c r="E8" i="25"/>
  <c r="D8" i="25"/>
  <c r="C8" i="25"/>
  <c r="E102" i="2" s="1"/>
  <c r="B8" i="25"/>
  <c r="A8" i="25"/>
  <c r="S7" i="25"/>
  <c r="R7" i="25"/>
  <c r="Q7" i="25"/>
  <c r="O101" i="1" s="1"/>
  <c r="P7" i="25"/>
  <c r="O7" i="25"/>
  <c r="N7" i="25"/>
  <c r="M7" i="25"/>
  <c r="K101" i="1" s="1"/>
  <c r="L7" i="25"/>
  <c r="K7" i="25"/>
  <c r="J7" i="25"/>
  <c r="I7" i="25"/>
  <c r="G101" i="1" s="1"/>
  <c r="H7" i="25"/>
  <c r="G7" i="25"/>
  <c r="F7" i="25"/>
  <c r="E7" i="25"/>
  <c r="D7" i="25"/>
  <c r="C7" i="25"/>
  <c r="B7" i="25"/>
  <c r="A7" i="25"/>
  <c r="S6" i="25"/>
  <c r="R6" i="25"/>
  <c r="Q6" i="25"/>
  <c r="P6" i="25"/>
  <c r="N100" i="1" s="1"/>
  <c r="O6" i="25"/>
  <c r="N6" i="25"/>
  <c r="M6" i="25"/>
  <c r="L6" i="25"/>
  <c r="J100" i="1" s="1"/>
  <c r="K6" i="25"/>
  <c r="J6" i="25"/>
  <c r="I6" i="25"/>
  <c r="H6" i="25"/>
  <c r="F100" i="1" s="1"/>
  <c r="G6" i="25"/>
  <c r="F6" i="25"/>
  <c r="E6" i="25"/>
  <c r="D6" i="25"/>
  <c r="C6" i="25"/>
  <c r="B6" i="25"/>
  <c r="A6" i="25"/>
  <c r="S5" i="25"/>
  <c r="Q99" i="1" s="1"/>
  <c r="R5" i="25"/>
  <c r="Q5" i="25"/>
  <c r="P5" i="25"/>
  <c r="N99" i="1" s="1"/>
  <c r="O5" i="25"/>
  <c r="N5" i="25"/>
  <c r="M5" i="25"/>
  <c r="L5" i="25"/>
  <c r="J99" i="1" s="1"/>
  <c r="K5" i="25"/>
  <c r="I99" i="1" s="1"/>
  <c r="J5" i="25"/>
  <c r="I5" i="25"/>
  <c r="H5" i="25"/>
  <c r="F99" i="1" s="1"/>
  <c r="G5" i="25"/>
  <c r="E99" i="1" s="1"/>
  <c r="F5" i="25"/>
  <c r="E5" i="25"/>
  <c r="D5" i="25"/>
  <c r="F99" i="3" s="1"/>
  <c r="C5" i="25"/>
  <c r="E99" i="2" s="1"/>
  <c r="B5" i="25"/>
  <c r="A5" i="25"/>
  <c r="S4" i="25"/>
  <c r="R4" i="25"/>
  <c r="P98" i="1" s="1"/>
  <c r="Q4" i="25"/>
  <c r="P4" i="25"/>
  <c r="O4" i="25"/>
  <c r="N4" i="25"/>
  <c r="L98" i="1" s="1"/>
  <c r="M4" i="25"/>
  <c r="L4" i="25"/>
  <c r="K4" i="25"/>
  <c r="J4" i="25"/>
  <c r="H98" i="1" s="1"/>
  <c r="I4" i="25"/>
  <c r="H4" i="25"/>
  <c r="G4" i="25"/>
  <c r="F4" i="25"/>
  <c r="D98" i="1" s="1"/>
  <c r="E4" i="25"/>
  <c r="D4" i="25"/>
  <c r="C4" i="25"/>
  <c r="E98" i="2" s="1"/>
  <c r="B4" i="25"/>
  <c r="A4" i="25"/>
  <c r="S3" i="25"/>
  <c r="R3" i="25"/>
  <c r="Q3" i="25"/>
  <c r="O97" i="1" s="1"/>
  <c r="P3" i="25"/>
  <c r="O3" i="25"/>
  <c r="N3" i="25"/>
  <c r="M3" i="25"/>
  <c r="K97" i="1" s="1"/>
  <c r="L3" i="25"/>
  <c r="K3" i="25"/>
  <c r="J3" i="25"/>
  <c r="I3" i="25"/>
  <c r="G97" i="1" s="1"/>
  <c r="H3" i="25"/>
  <c r="G3" i="25"/>
  <c r="F3" i="25"/>
  <c r="E3" i="25"/>
  <c r="D3" i="25"/>
  <c r="C3" i="25"/>
  <c r="B3" i="25"/>
  <c r="A3" i="25"/>
  <c r="S2" i="25"/>
  <c r="R2" i="25"/>
  <c r="Q2" i="25"/>
  <c r="P2" i="25"/>
  <c r="N96" i="1" s="1"/>
  <c r="O2" i="25"/>
  <c r="N2" i="25"/>
  <c r="M2" i="25"/>
  <c r="L2" i="25"/>
  <c r="J96" i="1" s="1"/>
  <c r="K2" i="25"/>
  <c r="J2" i="25"/>
  <c r="I2" i="25"/>
  <c r="H2" i="25"/>
  <c r="F96" i="1" s="1"/>
  <c r="G2" i="25"/>
  <c r="F2" i="25"/>
  <c r="E2" i="25"/>
  <c r="D2" i="25"/>
  <c r="C2" i="25"/>
  <c r="B2" i="25"/>
  <c r="A2" i="25"/>
  <c r="S1" i="25"/>
  <c r="R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A1" i="25"/>
  <c r="S19" i="24"/>
  <c r="U95" i="2" s="1"/>
  <c r="R19" i="24"/>
  <c r="T95" i="2" s="1"/>
  <c r="Q19" i="24"/>
  <c r="P19" i="24"/>
  <c r="O19" i="24"/>
  <c r="Q95" i="2" s="1"/>
  <c r="N19" i="24"/>
  <c r="P95" i="2" s="1"/>
  <c r="M19" i="24"/>
  <c r="L19" i="24"/>
  <c r="K19" i="24"/>
  <c r="M95" i="2" s="1"/>
  <c r="J19" i="24"/>
  <c r="L95" i="2" s="1"/>
  <c r="I19" i="24"/>
  <c r="H19" i="24"/>
  <c r="G19" i="24"/>
  <c r="I95" i="2" s="1"/>
  <c r="F19" i="24"/>
  <c r="H95" i="2" s="1"/>
  <c r="E19" i="24"/>
  <c r="D19" i="24"/>
  <c r="C19" i="24"/>
  <c r="E95" i="2" s="1"/>
  <c r="B19" i="24"/>
  <c r="A19" i="24"/>
  <c r="S18" i="24"/>
  <c r="R18" i="24"/>
  <c r="Q18" i="24"/>
  <c r="S94" i="2" s="1"/>
  <c r="P18" i="24"/>
  <c r="O18" i="24"/>
  <c r="N18" i="24"/>
  <c r="M18" i="24"/>
  <c r="O94" i="2" s="1"/>
  <c r="L18" i="24"/>
  <c r="K18" i="24"/>
  <c r="J18" i="24"/>
  <c r="I18" i="24"/>
  <c r="K94" i="2" s="1"/>
  <c r="H18" i="24"/>
  <c r="G18" i="24"/>
  <c r="F18" i="24"/>
  <c r="E18" i="24"/>
  <c r="G94" i="2" s="1"/>
  <c r="D18" i="24"/>
  <c r="C18" i="24"/>
  <c r="B18" i="24"/>
  <c r="A18" i="24"/>
  <c r="S17" i="24"/>
  <c r="R17" i="24"/>
  <c r="Q17" i="24"/>
  <c r="S93" i="2" s="1"/>
  <c r="P17" i="24"/>
  <c r="R93" i="2" s="1"/>
  <c r="O17" i="24"/>
  <c r="N17" i="24"/>
  <c r="M17" i="24"/>
  <c r="O93" i="2" s="1"/>
  <c r="L17" i="24"/>
  <c r="N93" i="2" s="1"/>
  <c r="K17" i="24"/>
  <c r="J17" i="24"/>
  <c r="I17" i="24"/>
  <c r="K93" i="2" s="1"/>
  <c r="H17" i="24"/>
  <c r="J93" i="2" s="1"/>
  <c r="G17" i="24"/>
  <c r="F17" i="24"/>
  <c r="E17" i="24"/>
  <c r="G93" i="2" s="1"/>
  <c r="D17" i="24"/>
  <c r="F93" i="2" s="1"/>
  <c r="C17" i="24"/>
  <c r="B17" i="24"/>
  <c r="A17" i="24"/>
  <c r="S16" i="24"/>
  <c r="U92" i="2" s="1"/>
  <c r="R16" i="24"/>
  <c r="Q16" i="24"/>
  <c r="P16" i="24"/>
  <c r="O16" i="24"/>
  <c r="Q92" i="2" s="1"/>
  <c r="N16" i="24"/>
  <c r="M16" i="24"/>
  <c r="L16" i="24"/>
  <c r="K16" i="24"/>
  <c r="M92" i="2" s="1"/>
  <c r="J16" i="24"/>
  <c r="I16" i="24"/>
  <c r="H16" i="24"/>
  <c r="G16" i="24"/>
  <c r="I92" i="2" s="1"/>
  <c r="F16" i="24"/>
  <c r="E16" i="24"/>
  <c r="D16" i="24"/>
  <c r="C16" i="24"/>
  <c r="E92" i="2" s="1"/>
  <c r="B16" i="24"/>
  <c r="A16" i="24"/>
  <c r="S15" i="24"/>
  <c r="U91" i="2" s="1"/>
  <c r="R15" i="24"/>
  <c r="T91" i="2" s="1"/>
  <c r="Q15" i="24"/>
  <c r="P15" i="24"/>
  <c r="O15" i="24"/>
  <c r="Q91" i="2" s="1"/>
  <c r="N15" i="24"/>
  <c r="P91" i="2" s="1"/>
  <c r="M15" i="24"/>
  <c r="L15" i="24"/>
  <c r="K15" i="24"/>
  <c r="M91" i="2" s="1"/>
  <c r="J15" i="24"/>
  <c r="L91" i="2" s="1"/>
  <c r="I15" i="24"/>
  <c r="H15" i="24"/>
  <c r="G15" i="24"/>
  <c r="I91" i="2" s="1"/>
  <c r="F15" i="24"/>
  <c r="H91" i="2" s="1"/>
  <c r="E15" i="24"/>
  <c r="D15" i="24"/>
  <c r="C15" i="24"/>
  <c r="E91" i="2" s="1"/>
  <c r="B15" i="24"/>
  <c r="A15" i="24"/>
  <c r="S14" i="24"/>
  <c r="R14" i="24"/>
  <c r="Q14" i="24"/>
  <c r="S90" i="2" s="1"/>
  <c r="P14" i="24"/>
  <c r="O14" i="24"/>
  <c r="N14" i="24"/>
  <c r="M14" i="24"/>
  <c r="O90" i="2" s="1"/>
  <c r="L14" i="24"/>
  <c r="K14" i="24"/>
  <c r="J14" i="24"/>
  <c r="I14" i="24"/>
  <c r="K90" i="2" s="1"/>
  <c r="H14" i="24"/>
  <c r="G14" i="24"/>
  <c r="F14" i="24"/>
  <c r="E14" i="24"/>
  <c r="G90" i="2" s="1"/>
  <c r="D14" i="24"/>
  <c r="C14" i="24"/>
  <c r="B14" i="24"/>
  <c r="A14" i="24"/>
  <c r="S13" i="24"/>
  <c r="R13" i="24"/>
  <c r="Q13" i="24"/>
  <c r="S89" i="2" s="1"/>
  <c r="P13" i="24"/>
  <c r="R89" i="2" s="1"/>
  <c r="O13" i="24"/>
  <c r="N13" i="24"/>
  <c r="M13" i="24"/>
  <c r="O89" i="2" s="1"/>
  <c r="L13" i="24"/>
  <c r="N89" i="2" s="1"/>
  <c r="K13" i="24"/>
  <c r="J13" i="24"/>
  <c r="I13" i="24"/>
  <c r="K89" i="2" s="1"/>
  <c r="H13" i="24"/>
  <c r="J89" i="2" s="1"/>
  <c r="G13" i="24"/>
  <c r="F13" i="24"/>
  <c r="E13" i="24"/>
  <c r="G89" i="2" s="1"/>
  <c r="D13" i="24"/>
  <c r="F89" i="2" s="1"/>
  <c r="C13" i="24"/>
  <c r="B13" i="24"/>
  <c r="A13" i="24"/>
  <c r="S12" i="24"/>
  <c r="U88" i="2" s="1"/>
  <c r="R12" i="24"/>
  <c r="Q12" i="24"/>
  <c r="P12" i="24"/>
  <c r="O12" i="24"/>
  <c r="Q88" i="2" s="1"/>
  <c r="N12" i="24"/>
  <c r="M12" i="24"/>
  <c r="L12" i="24"/>
  <c r="K12" i="24"/>
  <c r="M88" i="2" s="1"/>
  <c r="J12" i="24"/>
  <c r="I12" i="24"/>
  <c r="H12" i="24"/>
  <c r="G12" i="24"/>
  <c r="I88" i="2" s="1"/>
  <c r="F12" i="24"/>
  <c r="E12" i="24"/>
  <c r="D12" i="24"/>
  <c r="C12" i="24"/>
  <c r="E88" i="2" s="1"/>
  <c r="B12" i="24"/>
  <c r="A12" i="24"/>
  <c r="S11" i="24"/>
  <c r="U87" i="2" s="1"/>
  <c r="R11" i="24"/>
  <c r="T87" i="2" s="1"/>
  <c r="Q11" i="24"/>
  <c r="P11" i="24"/>
  <c r="O11" i="24"/>
  <c r="Q87" i="2" s="1"/>
  <c r="N11" i="24"/>
  <c r="P87" i="2" s="1"/>
  <c r="M11" i="24"/>
  <c r="L11" i="24"/>
  <c r="K11" i="24"/>
  <c r="M87" i="2" s="1"/>
  <c r="J11" i="24"/>
  <c r="L87" i="2" s="1"/>
  <c r="I11" i="24"/>
  <c r="H11" i="24"/>
  <c r="G11" i="24"/>
  <c r="I87" i="2" s="1"/>
  <c r="F11" i="24"/>
  <c r="H87" i="2" s="1"/>
  <c r="E11" i="24"/>
  <c r="D11" i="24"/>
  <c r="C11" i="24"/>
  <c r="E87" i="2" s="1"/>
  <c r="B11" i="24"/>
  <c r="A11" i="24"/>
  <c r="S10" i="24"/>
  <c r="R10" i="24"/>
  <c r="T86" i="2" s="1"/>
  <c r="Q10" i="24"/>
  <c r="S86" i="2" s="1"/>
  <c r="P10" i="24"/>
  <c r="O10" i="24"/>
  <c r="N10" i="24"/>
  <c r="P86" i="2" s="1"/>
  <c r="M10" i="24"/>
  <c r="O86" i="2" s="1"/>
  <c r="L10" i="24"/>
  <c r="K10" i="24"/>
  <c r="J10" i="24"/>
  <c r="L86" i="2" s="1"/>
  <c r="I10" i="24"/>
  <c r="K86" i="2" s="1"/>
  <c r="H10" i="24"/>
  <c r="G10" i="24"/>
  <c r="F10" i="24"/>
  <c r="H86" i="2" s="1"/>
  <c r="E10" i="24"/>
  <c r="G86" i="2" s="1"/>
  <c r="D10" i="24"/>
  <c r="C10" i="24"/>
  <c r="B10" i="24"/>
  <c r="A10" i="24"/>
  <c r="S9" i="24"/>
  <c r="R9" i="24"/>
  <c r="Q9" i="24"/>
  <c r="S85" i="2" s="1"/>
  <c r="P9" i="24"/>
  <c r="R85" i="2" s="1"/>
  <c r="O9" i="24"/>
  <c r="N9" i="24"/>
  <c r="M9" i="24"/>
  <c r="O85" i="2" s="1"/>
  <c r="L9" i="24"/>
  <c r="N85" i="2" s="1"/>
  <c r="K9" i="24"/>
  <c r="J9" i="24"/>
  <c r="I9" i="24"/>
  <c r="K85" i="2" s="1"/>
  <c r="H9" i="24"/>
  <c r="J85" i="2" s="1"/>
  <c r="G9" i="24"/>
  <c r="F9" i="24"/>
  <c r="E9" i="24"/>
  <c r="G85" i="2" s="1"/>
  <c r="D9" i="24"/>
  <c r="F85" i="2" s="1"/>
  <c r="C9" i="24"/>
  <c r="B9" i="24"/>
  <c r="A9" i="24"/>
  <c r="S8" i="24"/>
  <c r="U84" i="2" s="1"/>
  <c r="R8" i="24"/>
  <c r="Q8" i="24"/>
  <c r="P8" i="24"/>
  <c r="R84" i="2" s="1"/>
  <c r="O8" i="24"/>
  <c r="Q84" i="2" s="1"/>
  <c r="N8" i="24"/>
  <c r="M8" i="24"/>
  <c r="L8" i="24"/>
  <c r="N84" i="2" s="1"/>
  <c r="K8" i="24"/>
  <c r="M84" i="2" s="1"/>
  <c r="J8" i="24"/>
  <c r="I8" i="24"/>
  <c r="H8" i="24"/>
  <c r="J84" i="2" s="1"/>
  <c r="G8" i="24"/>
  <c r="I84" i="2" s="1"/>
  <c r="F8" i="24"/>
  <c r="E8" i="24"/>
  <c r="D8" i="24"/>
  <c r="F84" i="2" s="1"/>
  <c r="C8" i="24"/>
  <c r="E84" i="2" s="1"/>
  <c r="B8" i="24"/>
  <c r="A8" i="24"/>
  <c r="S7" i="24"/>
  <c r="U83" i="2" s="1"/>
  <c r="R7" i="24"/>
  <c r="T83" i="2" s="1"/>
  <c r="Q7" i="24"/>
  <c r="P7" i="24"/>
  <c r="O7" i="24"/>
  <c r="Q83" i="2" s="1"/>
  <c r="N7" i="24"/>
  <c r="P83" i="2" s="1"/>
  <c r="M7" i="24"/>
  <c r="L7" i="24"/>
  <c r="K7" i="24"/>
  <c r="M83" i="2" s="1"/>
  <c r="J7" i="24"/>
  <c r="L83" i="2" s="1"/>
  <c r="I7" i="24"/>
  <c r="H7" i="24"/>
  <c r="G7" i="24"/>
  <c r="I83" i="2" s="1"/>
  <c r="F7" i="24"/>
  <c r="H83" i="2" s="1"/>
  <c r="E7" i="24"/>
  <c r="D7" i="24"/>
  <c r="C7" i="24"/>
  <c r="E83" i="2" s="1"/>
  <c r="B7" i="24"/>
  <c r="A7" i="24"/>
  <c r="S6" i="24"/>
  <c r="R6" i="24"/>
  <c r="T82" i="2" s="1"/>
  <c r="Q6" i="24"/>
  <c r="S82" i="2" s="1"/>
  <c r="P6" i="24"/>
  <c r="O6" i="24"/>
  <c r="N6" i="24"/>
  <c r="P82" i="2" s="1"/>
  <c r="M6" i="24"/>
  <c r="O82" i="2" s="1"/>
  <c r="L6" i="24"/>
  <c r="K6" i="24"/>
  <c r="J6" i="24"/>
  <c r="L82" i="2" s="1"/>
  <c r="I6" i="24"/>
  <c r="K82" i="2" s="1"/>
  <c r="H6" i="24"/>
  <c r="G6" i="24"/>
  <c r="F6" i="24"/>
  <c r="H82" i="2" s="1"/>
  <c r="E6" i="24"/>
  <c r="G82" i="2" s="1"/>
  <c r="D6" i="24"/>
  <c r="C6" i="24"/>
  <c r="B6" i="24"/>
  <c r="A6" i="24"/>
  <c r="S5" i="24"/>
  <c r="R5" i="24"/>
  <c r="Q5" i="24"/>
  <c r="S81" i="2" s="1"/>
  <c r="P5" i="24"/>
  <c r="R81" i="2" s="1"/>
  <c r="O5" i="24"/>
  <c r="N5" i="24"/>
  <c r="M5" i="24"/>
  <c r="O81" i="2" s="1"/>
  <c r="L5" i="24"/>
  <c r="N81" i="2" s="1"/>
  <c r="K5" i="24"/>
  <c r="J5" i="24"/>
  <c r="I5" i="24"/>
  <c r="K81" i="2" s="1"/>
  <c r="H5" i="24"/>
  <c r="J81" i="2" s="1"/>
  <c r="G5" i="24"/>
  <c r="F5" i="24"/>
  <c r="E5" i="24"/>
  <c r="G81" i="2" s="1"/>
  <c r="D5" i="24"/>
  <c r="F81" i="2" s="1"/>
  <c r="C5" i="24"/>
  <c r="B5" i="24"/>
  <c r="A5" i="24"/>
  <c r="S4" i="24"/>
  <c r="U80" i="2" s="1"/>
  <c r="R4" i="24"/>
  <c r="Q4" i="24"/>
  <c r="P4" i="24"/>
  <c r="R80" i="2" s="1"/>
  <c r="O4" i="24"/>
  <c r="Q80" i="2" s="1"/>
  <c r="N4" i="24"/>
  <c r="M4" i="24"/>
  <c r="L4" i="24"/>
  <c r="N80" i="2" s="1"/>
  <c r="K4" i="24"/>
  <c r="M80" i="2" s="1"/>
  <c r="J4" i="24"/>
  <c r="I4" i="24"/>
  <c r="H4" i="24"/>
  <c r="J80" i="2" s="1"/>
  <c r="G4" i="24"/>
  <c r="I80" i="2" s="1"/>
  <c r="F4" i="24"/>
  <c r="E4" i="24"/>
  <c r="D4" i="24"/>
  <c r="F80" i="2" s="1"/>
  <c r="C4" i="24"/>
  <c r="E80" i="2" s="1"/>
  <c r="B4" i="24"/>
  <c r="A4" i="24"/>
  <c r="S3" i="24"/>
  <c r="U79" i="2" s="1"/>
  <c r="R3" i="24"/>
  <c r="T79" i="2" s="1"/>
  <c r="Q3" i="24"/>
  <c r="P3" i="24"/>
  <c r="O3" i="24"/>
  <c r="Q79" i="2" s="1"/>
  <c r="N3" i="24"/>
  <c r="P79" i="2" s="1"/>
  <c r="M3" i="24"/>
  <c r="L3" i="24"/>
  <c r="K3" i="24"/>
  <c r="M79" i="2" s="1"/>
  <c r="J3" i="24"/>
  <c r="L79" i="2" s="1"/>
  <c r="I3" i="24"/>
  <c r="H3" i="24"/>
  <c r="G3" i="24"/>
  <c r="I79" i="2" s="1"/>
  <c r="F3" i="24"/>
  <c r="H79" i="2" s="1"/>
  <c r="E3" i="24"/>
  <c r="D3" i="24"/>
  <c r="C3" i="24"/>
  <c r="E79" i="2" s="1"/>
  <c r="B3" i="24"/>
  <c r="A3" i="24"/>
  <c r="S2" i="24"/>
  <c r="R2" i="24"/>
  <c r="Q2" i="24"/>
  <c r="S78" i="2" s="1"/>
  <c r="P2" i="24"/>
  <c r="O2" i="24"/>
  <c r="N2" i="24"/>
  <c r="M2" i="24"/>
  <c r="O78" i="2" s="1"/>
  <c r="L2" i="24"/>
  <c r="K2" i="24"/>
  <c r="J2" i="24"/>
  <c r="I2" i="24"/>
  <c r="K78" i="2" s="1"/>
  <c r="H2" i="24"/>
  <c r="G2" i="24"/>
  <c r="F2" i="24"/>
  <c r="E2" i="24"/>
  <c r="G78" i="2" s="1"/>
  <c r="D2" i="24"/>
  <c r="C2" i="24"/>
  <c r="B2" i="24"/>
  <c r="A2" i="24"/>
  <c r="S1" i="24"/>
  <c r="R1" i="24"/>
  <c r="Q1" i="24"/>
  <c r="P1" i="24"/>
  <c r="O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S19" i="23"/>
  <c r="Q95" i="1" s="1"/>
  <c r="R19" i="23"/>
  <c r="Q19" i="23"/>
  <c r="P19" i="23"/>
  <c r="N95" i="1" s="1"/>
  <c r="O19" i="23"/>
  <c r="M95" i="1" s="1"/>
  <c r="N19" i="23"/>
  <c r="M19" i="23"/>
  <c r="L19" i="23"/>
  <c r="J95" i="1" s="1"/>
  <c r="K19" i="23"/>
  <c r="I95" i="1" s="1"/>
  <c r="J19" i="23"/>
  <c r="I19" i="23"/>
  <c r="H19" i="23"/>
  <c r="F95" i="1" s="1"/>
  <c r="G19" i="23"/>
  <c r="E95" i="1" s="1"/>
  <c r="F19" i="23"/>
  <c r="E19" i="23"/>
  <c r="D19" i="23"/>
  <c r="F95" i="3" s="1"/>
  <c r="C19" i="23"/>
  <c r="E95" i="3" s="1"/>
  <c r="B19" i="23"/>
  <c r="A19" i="23"/>
  <c r="S18" i="23"/>
  <c r="R18" i="23"/>
  <c r="P94" i="1" s="1"/>
  <c r="Q18" i="23"/>
  <c r="P18" i="23"/>
  <c r="O18" i="23"/>
  <c r="N18" i="23"/>
  <c r="L94" i="1" s="1"/>
  <c r="M18" i="23"/>
  <c r="L18" i="23"/>
  <c r="K18" i="23"/>
  <c r="J18" i="23"/>
  <c r="H94" i="1" s="1"/>
  <c r="I18" i="23"/>
  <c r="H18" i="23"/>
  <c r="G18" i="23"/>
  <c r="F18" i="23"/>
  <c r="D94" i="1" s="1"/>
  <c r="E18" i="23"/>
  <c r="D18" i="23"/>
  <c r="C18" i="23"/>
  <c r="E94" i="3" s="1"/>
  <c r="B18" i="23"/>
  <c r="D94" i="3" s="1"/>
  <c r="A18" i="23"/>
  <c r="S17" i="23"/>
  <c r="R17" i="23"/>
  <c r="Q17" i="23"/>
  <c r="O93" i="1" s="1"/>
  <c r="P17" i="23"/>
  <c r="O17" i="23"/>
  <c r="N17" i="23"/>
  <c r="M17" i="23"/>
  <c r="K93" i="1" s="1"/>
  <c r="L17" i="23"/>
  <c r="K17" i="23"/>
  <c r="J17" i="23"/>
  <c r="I17" i="23"/>
  <c r="G93" i="1" s="1"/>
  <c r="H17" i="23"/>
  <c r="G17" i="23"/>
  <c r="F17" i="23"/>
  <c r="E17" i="23"/>
  <c r="G93" i="3" s="1"/>
  <c r="D17" i="23"/>
  <c r="C17" i="23"/>
  <c r="B17" i="23"/>
  <c r="D93" i="3" s="1"/>
  <c r="A17" i="23"/>
  <c r="S16" i="23"/>
  <c r="R16" i="23"/>
  <c r="Q16" i="23"/>
  <c r="P16" i="23"/>
  <c r="N92" i="1" s="1"/>
  <c r="O16" i="23"/>
  <c r="N16" i="23"/>
  <c r="M16" i="23"/>
  <c r="L16" i="23"/>
  <c r="J92" i="1" s="1"/>
  <c r="K16" i="23"/>
  <c r="J16" i="23"/>
  <c r="I16" i="23"/>
  <c r="H16" i="23"/>
  <c r="F92" i="1" s="1"/>
  <c r="G16" i="23"/>
  <c r="F16" i="23"/>
  <c r="E16" i="23"/>
  <c r="G92" i="3" s="1"/>
  <c r="D16" i="23"/>
  <c r="F92" i="3" s="1"/>
  <c r="C16" i="23"/>
  <c r="B16" i="23"/>
  <c r="A16" i="23"/>
  <c r="S15" i="23"/>
  <c r="Q91" i="1" s="1"/>
  <c r="R15" i="23"/>
  <c r="Q15" i="23"/>
  <c r="P15" i="23"/>
  <c r="N91" i="1" s="1"/>
  <c r="O15" i="23"/>
  <c r="M91" i="1" s="1"/>
  <c r="N15" i="23"/>
  <c r="M15" i="23"/>
  <c r="L15" i="23"/>
  <c r="J91" i="1" s="1"/>
  <c r="K15" i="23"/>
  <c r="I91" i="1" s="1"/>
  <c r="J15" i="23"/>
  <c r="I15" i="23"/>
  <c r="H15" i="23"/>
  <c r="F91" i="1" s="1"/>
  <c r="G15" i="23"/>
  <c r="E91" i="1" s="1"/>
  <c r="F15" i="23"/>
  <c r="E15" i="23"/>
  <c r="G91" i="3" s="1"/>
  <c r="D15" i="23"/>
  <c r="F91" i="3" s="1"/>
  <c r="C15" i="23"/>
  <c r="E91" i="3" s="1"/>
  <c r="B15" i="23"/>
  <c r="A15" i="23"/>
  <c r="S14" i="23"/>
  <c r="R14" i="23"/>
  <c r="P90" i="1" s="1"/>
  <c r="Q14" i="23"/>
  <c r="P14" i="23"/>
  <c r="O14" i="23"/>
  <c r="N14" i="23"/>
  <c r="L90" i="1" s="1"/>
  <c r="M14" i="23"/>
  <c r="L14" i="23"/>
  <c r="K14" i="23"/>
  <c r="J14" i="23"/>
  <c r="H90" i="1" s="1"/>
  <c r="I14" i="23"/>
  <c r="H14" i="23"/>
  <c r="G14" i="23"/>
  <c r="F14" i="23"/>
  <c r="D90" i="1" s="1"/>
  <c r="E14" i="23"/>
  <c r="D14" i="23"/>
  <c r="F90" i="3" s="1"/>
  <c r="C14" i="23"/>
  <c r="E90" i="3" s="1"/>
  <c r="B14" i="23"/>
  <c r="D90" i="3" s="1"/>
  <c r="A14" i="23"/>
  <c r="S13" i="23"/>
  <c r="R13" i="23"/>
  <c r="Q13" i="23"/>
  <c r="O89" i="1" s="1"/>
  <c r="P13" i="23"/>
  <c r="O13" i="23"/>
  <c r="N13" i="23"/>
  <c r="M13" i="23"/>
  <c r="K89" i="1" s="1"/>
  <c r="L13" i="23"/>
  <c r="K13" i="23"/>
  <c r="J13" i="23"/>
  <c r="I13" i="23"/>
  <c r="G89" i="1" s="1"/>
  <c r="H13" i="23"/>
  <c r="G13" i="23"/>
  <c r="F13" i="23"/>
  <c r="E13" i="23"/>
  <c r="G89" i="3" s="1"/>
  <c r="D13" i="23"/>
  <c r="C13" i="23"/>
  <c r="B13" i="23"/>
  <c r="D89" i="3" s="1"/>
  <c r="A13" i="23"/>
  <c r="S12" i="23"/>
  <c r="R12" i="23"/>
  <c r="Q12" i="23"/>
  <c r="P12" i="23"/>
  <c r="N88" i="1" s="1"/>
  <c r="O12" i="23"/>
  <c r="N12" i="23"/>
  <c r="M12" i="23"/>
  <c r="L12" i="23"/>
  <c r="J88" i="1" s="1"/>
  <c r="K12" i="23"/>
  <c r="J12" i="23"/>
  <c r="I12" i="23"/>
  <c r="H12" i="23"/>
  <c r="F88" i="1" s="1"/>
  <c r="G12" i="23"/>
  <c r="F12" i="23"/>
  <c r="E12" i="23"/>
  <c r="G88" i="3" s="1"/>
  <c r="D12" i="23"/>
  <c r="F88" i="3" s="1"/>
  <c r="C12" i="23"/>
  <c r="B12" i="23"/>
  <c r="A12" i="23"/>
  <c r="S11" i="23"/>
  <c r="R11" i="23"/>
  <c r="Q11" i="23"/>
  <c r="P11" i="23"/>
  <c r="N87" i="1" s="1"/>
  <c r="O11" i="23"/>
  <c r="M87" i="1" s="1"/>
  <c r="N11" i="23"/>
  <c r="M11" i="23"/>
  <c r="L11" i="23"/>
  <c r="J87" i="1" s="1"/>
  <c r="K11" i="23"/>
  <c r="I87" i="1" s="1"/>
  <c r="J11" i="23"/>
  <c r="I11" i="23"/>
  <c r="H11" i="23"/>
  <c r="F87" i="1" s="1"/>
  <c r="G11" i="23"/>
  <c r="E87" i="1" s="1"/>
  <c r="F11" i="23"/>
  <c r="E11" i="23"/>
  <c r="D11" i="23"/>
  <c r="F87" i="3" s="1"/>
  <c r="C11" i="23"/>
  <c r="E87" i="3" s="1"/>
  <c r="B11" i="23"/>
  <c r="A11" i="23"/>
  <c r="S10" i="23"/>
  <c r="R10" i="23"/>
  <c r="P86" i="1" s="1"/>
  <c r="Q10" i="23"/>
  <c r="P10" i="23"/>
  <c r="O10" i="23"/>
  <c r="N10" i="23"/>
  <c r="L86" i="1" s="1"/>
  <c r="M10" i="23"/>
  <c r="L10" i="23"/>
  <c r="K10" i="23"/>
  <c r="J10" i="23"/>
  <c r="H86" i="1" s="1"/>
  <c r="I10" i="23"/>
  <c r="H10" i="23"/>
  <c r="G10" i="23"/>
  <c r="F10" i="23"/>
  <c r="D86" i="1" s="1"/>
  <c r="E10" i="23"/>
  <c r="D10" i="23"/>
  <c r="C10" i="23"/>
  <c r="E86" i="3" s="1"/>
  <c r="B10" i="23"/>
  <c r="D86" i="3" s="1"/>
  <c r="A10" i="23"/>
  <c r="S9" i="23"/>
  <c r="R9" i="23"/>
  <c r="Q9" i="23"/>
  <c r="O85" i="1" s="1"/>
  <c r="P9" i="23"/>
  <c r="O9" i="23"/>
  <c r="N9" i="23"/>
  <c r="M9" i="23"/>
  <c r="K85" i="1" s="1"/>
  <c r="L9" i="23"/>
  <c r="K9" i="23"/>
  <c r="J9" i="23"/>
  <c r="I9" i="23"/>
  <c r="G85" i="1" s="1"/>
  <c r="H9" i="23"/>
  <c r="G9" i="23"/>
  <c r="F9" i="23"/>
  <c r="E9" i="23"/>
  <c r="G85" i="3" s="1"/>
  <c r="D9" i="23"/>
  <c r="C9" i="23"/>
  <c r="B9" i="23"/>
  <c r="D85" i="3" s="1"/>
  <c r="A9" i="23"/>
  <c r="S8" i="23"/>
  <c r="R8" i="23"/>
  <c r="Q8" i="23"/>
  <c r="P8" i="23"/>
  <c r="N84" i="1" s="1"/>
  <c r="O8" i="23"/>
  <c r="N8" i="23"/>
  <c r="M8" i="23"/>
  <c r="L8" i="23"/>
  <c r="J84" i="1" s="1"/>
  <c r="K8" i="23"/>
  <c r="J8" i="23"/>
  <c r="I8" i="23"/>
  <c r="H8" i="23"/>
  <c r="F84" i="1" s="1"/>
  <c r="G8" i="23"/>
  <c r="F8" i="23"/>
  <c r="E8" i="23"/>
  <c r="G84" i="3" s="1"/>
  <c r="D8" i="23"/>
  <c r="F84" i="3" s="1"/>
  <c r="C8" i="23"/>
  <c r="B8" i="23"/>
  <c r="A8" i="23"/>
  <c r="S7" i="23"/>
  <c r="Q83" i="1" s="1"/>
  <c r="R7" i="23"/>
  <c r="Q7" i="23"/>
  <c r="P7" i="23"/>
  <c r="N83" i="1" s="1"/>
  <c r="O7" i="23"/>
  <c r="M83" i="1" s="1"/>
  <c r="N7" i="23"/>
  <c r="M7" i="23"/>
  <c r="L7" i="23"/>
  <c r="J83" i="1" s="1"/>
  <c r="K7" i="23"/>
  <c r="I83" i="1" s="1"/>
  <c r="J7" i="23"/>
  <c r="I7" i="23"/>
  <c r="H7" i="23"/>
  <c r="F83" i="1" s="1"/>
  <c r="G7" i="23"/>
  <c r="E83" i="1" s="1"/>
  <c r="F7" i="23"/>
  <c r="E7" i="23"/>
  <c r="G83" i="3" s="1"/>
  <c r="D7" i="23"/>
  <c r="F83" i="3" s="1"/>
  <c r="C7" i="23"/>
  <c r="E83" i="3" s="1"/>
  <c r="B7" i="23"/>
  <c r="A7" i="23"/>
  <c r="S6" i="23"/>
  <c r="R6" i="23"/>
  <c r="P82" i="1" s="1"/>
  <c r="Q6" i="23"/>
  <c r="P6" i="23"/>
  <c r="O6" i="23"/>
  <c r="N6" i="23"/>
  <c r="L82" i="1" s="1"/>
  <c r="M6" i="23"/>
  <c r="L6" i="23"/>
  <c r="K6" i="23"/>
  <c r="J6" i="23"/>
  <c r="H82" i="1" s="1"/>
  <c r="I6" i="23"/>
  <c r="H6" i="23"/>
  <c r="G6" i="23"/>
  <c r="F6" i="23"/>
  <c r="D82" i="1" s="1"/>
  <c r="E6" i="23"/>
  <c r="D6" i="23"/>
  <c r="F82" i="3" s="1"/>
  <c r="C6" i="23"/>
  <c r="E82" i="3" s="1"/>
  <c r="B6" i="23"/>
  <c r="D82" i="3" s="1"/>
  <c r="A6" i="23"/>
  <c r="S5" i="23"/>
  <c r="R5" i="23"/>
  <c r="Q5" i="23"/>
  <c r="P5" i="23"/>
  <c r="O5" i="23"/>
  <c r="N5" i="23"/>
  <c r="M5" i="23"/>
  <c r="K81" i="1" s="1"/>
  <c r="L5" i="23"/>
  <c r="K5" i="23"/>
  <c r="J5" i="23"/>
  <c r="I5" i="23"/>
  <c r="G81" i="1" s="1"/>
  <c r="H5" i="23"/>
  <c r="G5" i="23"/>
  <c r="F5" i="23"/>
  <c r="D81" i="1" s="1"/>
  <c r="E5" i="23"/>
  <c r="D5" i="23"/>
  <c r="C5" i="23"/>
  <c r="E81" i="3" s="1"/>
  <c r="B5" i="23"/>
  <c r="D81" i="3" s="1"/>
  <c r="A5" i="23"/>
  <c r="S4" i="23"/>
  <c r="R4" i="23"/>
  <c r="Q4" i="23"/>
  <c r="P4" i="23"/>
  <c r="N80" i="1" s="1"/>
  <c r="O4" i="23"/>
  <c r="N4" i="23"/>
  <c r="M4" i="23"/>
  <c r="L4" i="23"/>
  <c r="J80" i="1" s="1"/>
  <c r="K4" i="23"/>
  <c r="J4" i="23"/>
  <c r="I4" i="23"/>
  <c r="H4" i="23"/>
  <c r="F80" i="1" s="1"/>
  <c r="G4" i="23"/>
  <c r="F4" i="23"/>
  <c r="E4" i="23"/>
  <c r="G80" i="3" s="1"/>
  <c r="D4" i="23"/>
  <c r="F80" i="3" s="1"/>
  <c r="C4" i="23"/>
  <c r="B4" i="23"/>
  <c r="D80" i="3" s="1"/>
  <c r="A4" i="23"/>
  <c r="S3" i="23"/>
  <c r="Q79" i="1" s="1"/>
  <c r="R3" i="23"/>
  <c r="Q3" i="23"/>
  <c r="P3" i="23"/>
  <c r="O3" i="23"/>
  <c r="M79" i="1" s="1"/>
  <c r="N3" i="23"/>
  <c r="M3" i="23"/>
  <c r="L3" i="23"/>
  <c r="J79" i="1" s="1"/>
  <c r="K3" i="23"/>
  <c r="I79" i="1" s="1"/>
  <c r="J3" i="23"/>
  <c r="I3" i="23"/>
  <c r="H3" i="23"/>
  <c r="G3" i="23"/>
  <c r="E79" i="1" s="1"/>
  <c r="F3" i="23"/>
  <c r="E3" i="23"/>
  <c r="D3" i="23"/>
  <c r="F79" i="3" s="1"/>
  <c r="C3" i="23"/>
  <c r="E79" i="3" s="1"/>
  <c r="B3" i="23"/>
  <c r="A3" i="23"/>
  <c r="S2" i="23"/>
  <c r="R2" i="23"/>
  <c r="P78" i="1" s="1"/>
  <c r="Q2" i="23"/>
  <c r="P2" i="23"/>
  <c r="O2" i="23"/>
  <c r="M78" i="1" s="1"/>
  <c r="N2" i="23"/>
  <c r="L78" i="1" s="1"/>
  <c r="M2" i="23"/>
  <c r="L2" i="23"/>
  <c r="K2" i="23"/>
  <c r="J2" i="23"/>
  <c r="H78" i="1" s="1"/>
  <c r="I2" i="23"/>
  <c r="H2" i="23"/>
  <c r="G2" i="23"/>
  <c r="F2" i="23"/>
  <c r="D78" i="1" s="1"/>
  <c r="E2" i="23"/>
  <c r="D2" i="23"/>
  <c r="C2" i="23"/>
  <c r="E78" i="3" s="1"/>
  <c r="B2" i="23"/>
  <c r="D78" i="3" s="1"/>
  <c r="A2" i="23"/>
  <c r="S1" i="23"/>
  <c r="R1" i="23"/>
  <c r="Q1" i="23"/>
  <c r="P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A1" i="23"/>
  <c r="S26" i="22"/>
  <c r="R26" i="22"/>
  <c r="Q26" i="22"/>
  <c r="S77" i="2" s="1"/>
  <c r="P26" i="22"/>
  <c r="R77" i="2" s="1"/>
  <c r="O26" i="22"/>
  <c r="N26" i="22"/>
  <c r="M26" i="22"/>
  <c r="L26" i="22"/>
  <c r="N77" i="2" s="1"/>
  <c r="K26" i="22"/>
  <c r="J26" i="22"/>
  <c r="I26" i="22"/>
  <c r="H26" i="22"/>
  <c r="J77" i="2" s="1"/>
  <c r="G26" i="22"/>
  <c r="F26" i="22"/>
  <c r="E26" i="22"/>
  <c r="D26" i="22"/>
  <c r="C26" i="22"/>
  <c r="B26" i="22"/>
  <c r="A26" i="22"/>
  <c r="S25" i="22"/>
  <c r="U76" i="2" s="1"/>
  <c r="R25" i="22"/>
  <c r="Q25" i="22"/>
  <c r="P25" i="22"/>
  <c r="O25" i="22"/>
  <c r="Q76" i="2" s="1"/>
  <c r="N25" i="22"/>
  <c r="M25" i="22"/>
  <c r="L25" i="22"/>
  <c r="N76" i="2" s="1"/>
  <c r="K25" i="22"/>
  <c r="M76" i="2" s="1"/>
  <c r="J25" i="22"/>
  <c r="I25" i="22"/>
  <c r="H25" i="22"/>
  <c r="J76" i="2" s="1"/>
  <c r="G25" i="22"/>
  <c r="I76" i="2" s="1"/>
  <c r="F25" i="22"/>
  <c r="E25" i="22"/>
  <c r="D25" i="22"/>
  <c r="C25" i="22"/>
  <c r="B25" i="22"/>
  <c r="A25" i="22"/>
  <c r="S24" i="22"/>
  <c r="U75" i="2" s="1"/>
  <c r="R24" i="22"/>
  <c r="T75" i="2" s="1"/>
  <c r="Q24" i="22"/>
  <c r="P24" i="22"/>
  <c r="O24" i="22"/>
  <c r="Q75" i="2" s="1"/>
  <c r="N24" i="22"/>
  <c r="P75" i="2" s="1"/>
  <c r="M24" i="22"/>
  <c r="L24" i="22"/>
  <c r="K24" i="22"/>
  <c r="J24" i="22"/>
  <c r="L75" i="2" s="1"/>
  <c r="I24" i="22"/>
  <c r="H24" i="22"/>
  <c r="G24" i="22"/>
  <c r="I75" i="2" s="1"/>
  <c r="F24" i="22"/>
  <c r="H75" i="2" s="1"/>
  <c r="E24" i="22"/>
  <c r="D24" i="22"/>
  <c r="C24" i="22"/>
  <c r="B24" i="22"/>
  <c r="A24" i="22"/>
  <c r="S23" i="22"/>
  <c r="R23" i="22"/>
  <c r="T74" i="2" s="1"/>
  <c r="Q23" i="22"/>
  <c r="S74" i="2" s="1"/>
  <c r="P23" i="22"/>
  <c r="O23" i="22"/>
  <c r="N23" i="22"/>
  <c r="P74" i="2" s="1"/>
  <c r="M23" i="22"/>
  <c r="O74" i="2" s="1"/>
  <c r="L23" i="22"/>
  <c r="K23" i="22"/>
  <c r="J23" i="22"/>
  <c r="L74" i="2" s="1"/>
  <c r="I23" i="22"/>
  <c r="K74" i="2" s="1"/>
  <c r="H23" i="22"/>
  <c r="G23" i="22"/>
  <c r="F23" i="22"/>
  <c r="H74" i="2" s="1"/>
  <c r="E23" i="22"/>
  <c r="D23" i="22"/>
  <c r="C23" i="22"/>
  <c r="B23" i="22"/>
  <c r="A23" i="22"/>
  <c r="S22" i="22"/>
  <c r="R22" i="22"/>
  <c r="Q22" i="22"/>
  <c r="S73" i="2" s="1"/>
  <c r="P22" i="22"/>
  <c r="R73" i="2" s="1"/>
  <c r="O22" i="22"/>
  <c r="N22" i="22"/>
  <c r="M22" i="22"/>
  <c r="L22" i="22"/>
  <c r="N73" i="2" s="1"/>
  <c r="K22" i="22"/>
  <c r="J22" i="22"/>
  <c r="I22" i="22"/>
  <c r="K73" i="2" s="1"/>
  <c r="H22" i="22"/>
  <c r="J73" i="2" s="1"/>
  <c r="G22" i="22"/>
  <c r="F22" i="22"/>
  <c r="E22" i="22"/>
  <c r="D22" i="22"/>
  <c r="C22" i="22"/>
  <c r="B22" i="22"/>
  <c r="A22" i="22"/>
  <c r="S21" i="22"/>
  <c r="U72" i="2" s="1"/>
  <c r="R21" i="22"/>
  <c r="Q21" i="22"/>
  <c r="P21" i="22"/>
  <c r="R72" i="2" s="1"/>
  <c r="O21" i="22"/>
  <c r="Q72" i="2" s="1"/>
  <c r="N21" i="22"/>
  <c r="M21" i="22"/>
  <c r="L21" i="22"/>
  <c r="N72" i="2" s="1"/>
  <c r="K21" i="22"/>
  <c r="M72" i="2" s="1"/>
  <c r="J21" i="22"/>
  <c r="I21" i="22"/>
  <c r="H21" i="22"/>
  <c r="J72" i="2" s="1"/>
  <c r="G21" i="22"/>
  <c r="I72" i="2" s="1"/>
  <c r="F21" i="22"/>
  <c r="E21" i="22"/>
  <c r="D21" i="22"/>
  <c r="C21" i="22"/>
  <c r="B21" i="22"/>
  <c r="A21" i="22"/>
  <c r="S20" i="22"/>
  <c r="U71" i="2" s="1"/>
  <c r="R20" i="22"/>
  <c r="T71" i="2" s="1"/>
  <c r="Q20" i="22"/>
  <c r="P20" i="22"/>
  <c r="O20" i="22"/>
  <c r="Q71" i="2" s="1"/>
  <c r="N20" i="22"/>
  <c r="P71" i="2" s="1"/>
  <c r="M20" i="22"/>
  <c r="L20" i="22"/>
  <c r="K20" i="22"/>
  <c r="M71" i="2" s="1"/>
  <c r="J20" i="22"/>
  <c r="L71" i="2" s="1"/>
  <c r="I20" i="22"/>
  <c r="H20" i="22"/>
  <c r="G20" i="22"/>
  <c r="I71" i="2" s="1"/>
  <c r="F20" i="22"/>
  <c r="H71" i="2" s="1"/>
  <c r="E20" i="22"/>
  <c r="D20" i="22"/>
  <c r="C20" i="22"/>
  <c r="B20" i="22"/>
  <c r="A20" i="22"/>
  <c r="S19" i="22"/>
  <c r="R19" i="22"/>
  <c r="T70" i="2" s="1"/>
  <c r="Q19" i="22"/>
  <c r="S70" i="2" s="1"/>
  <c r="P19" i="22"/>
  <c r="O19" i="22"/>
  <c r="N19" i="22"/>
  <c r="P70" i="2" s="1"/>
  <c r="M19" i="22"/>
  <c r="O70" i="2" s="1"/>
  <c r="L19" i="22"/>
  <c r="K19" i="22"/>
  <c r="J19" i="22"/>
  <c r="L70" i="2" s="1"/>
  <c r="I19" i="22"/>
  <c r="K70" i="2" s="1"/>
  <c r="H19" i="22"/>
  <c r="G19" i="22"/>
  <c r="F19" i="22"/>
  <c r="H70" i="2" s="1"/>
  <c r="E19" i="22"/>
  <c r="D19" i="22"/>
  <c r="C19" i="22"/>
  <c r="B19" i="22"/>
  <c r="A19" i="22"/>
  <c r="S18" i="22"/>
  <c r="R18" i="22"/>
  <c r="Q18" i="22"/>
  <c r="P18" i="22"/>
  <c r="R69" i="2" s="1"/>
  <c r="O18" i="22"/>
  <c r="N18" i="22"/>
  <c r="M18" i="22"/>
  <c r="O69" i="2" s="1"/>
  <c r="L18" i="22"/>
  <c r="N69" i="2" s="1"/>
  <c r="K18" i="22"/>
  <c r="J18" i="22"/>
  <c r="I18" i="22"/>
  <c r="K69" i="2" s="1"/>
  <c r="H18" i="22"/>
  <c r="J69" i="2" s="1"/>
  <c r="G18" i="22"/>
  <c r="F18" i="22"/>
  <c r="E18" i="22"/>
  <c r="D18" i="22"/>
  <c r="C18" i="22"/>
  <c r="B18" i="22"/>
  <c r="A18" i="22"/>
  <c r="S17" i="22"/>
  <c r="U68" i="2" s="1"/>
  <c r="R17" i="22"/>
  <c r="Q17" i="22"/>
  <c r="P17" i="22"/>
  <c r="R68" i="2" s="1"/>
  <c r="O17" i="22"/>
  <c r="Q68" i="2" s="1"/>
  <c r="N17" i="22"/>
  <c r="M17" i="22"/>
  <c r="L17" i="22"/>
  <c r="N68" i="2" s="1"/>
  <c r="K17" i="22"/>
  <c r="M68" i="2" s="1"/>
  <c r="J17" i="22"/>
  <c r="I17" i="22"/>
  <c r="H17" i="22"/>
  <c r="G17" i="22"/>
  <c r="I68" i="2" s="1"/>
  <c r="F17" i="22"/>
  <c r="E17" i="22"/>
  <c r="D17" i="22"/>
  <c r="C17" i="22"/>
  <c r="B17" i="22"/>
  <c r="A17" i="22"/>
  <c r="S16" i="22"/>
  <c r="R16" i="22"/>
  <c r="T67" i="2" s="1"/>
  <c r="Q16" i="22"/>
  <c r="P16" i="22"/>
  <c r="O16" i="22"/>
  <c r="Q67" i="2" s="1"/>
  <c r="N16" i="22"/>
  <c r="P67" i="2" s="1"/>
  <c r="M16" i="22"/>
  <c r="L16" i="22"/>
  <c r="K16" i="22"/>
  <c r="M67" i="2" s="1"/>
  <c r="J16" i="22"/>
  <c r="L67" i="2" s="1"/>
  <c r="I16" i="22"/>
  <c r="H16" i="22"/>
  <c r="G16" i="22"/>
  <c r="F16" i="22"/>
  <c r="H67" i="2" s="1"/>
  <c r="E16" i="22"/>
  <c r="D16" i="22"/>
  <c r="C16" i="22"/>
  <c r="B16" i="22"/>
  <c r="A16" i="22"/>
  <c r="S15" i="22"/>
  <c r="R15" i="22"/>
  <c r="T66" i="2" s="1"/>
  <c r="Q15" i="22"/>
  <c r="S66" i="2" s="1"/>
  <c r="P15" i="22"/>
  <c r="O15" i="22"/>
  <c r="N15" i="22"/>
  <c r="P66" i="2" s="1"/>
  <c r="M15" i="22"/>
  <c r="O66" i="2" s="1"/>
  <c r="L15" i="22"/>
  <c r="K15" i="22"/>
  <c r="J15" i="22"/>
  <c r="L66" i="2" s="1"/>
  <c r="I15" i="22"/>
  <c r="K66" i="2" s="1"/>
  <c r="H15" i="22"/>
  <c r="G15" i="22"/>
  <c r="F15" i="22"/>
  <c r="H66" i="2" s="1"/>
  <c r="E15" i="22"/>
  <c r="D15" i="22"/>
  <c r="C15" i="22"/>
  <c r="B15" i="22"/>
  <c r="A15" i="22"/>
  <c r="S14" i="22"/>
  <c r="R14" i="22"/>
  <c r="Q14" i="22"/>
  <c r="S65" i="2" s="1"/>
  <c r="P14" i="22"/>
  <c r="R65" i="2" s="1"/>
  <c r="O14" i="22"/>
  <c r="N14" i="22"/>
  <c r="M14" i="22"/>
  <c r="O65" i="2" s="1"/>
  <c r="L14" i="22"/>
  <c r="N65" i="2" s="1"/>
  <c r="K14" i="22"/>
  <c r="J14" i="22"/>
  <c r="I14" i="22"/>
  <c r="K65" i="2" s="1"/>
  <c r="H14" i="22"/>
  <c r="J65" i="2" s="1"/>
  <c r="G14" i="22"/>
  <c r="F14" i="22"/>
  <c r="E14" i="22"/>
  <c r="D14" i="22"/>
  <c r="C14" i="22"/>
  <c r="B14" i="22"/>
  <c r="A14" i="22"/>
  <c r="S13" i="22"/>
  <c r="U64" i="2" s="1"/>
  <c r="R13" i="22"/>
  <c r="Q13" i="22"/>
  <c r="P13" i="22"/>
  <c r="R64" i="2" s="1"/>
  <c r="O13" i="22"/>
  <c r="Q64" i="2" s="1"/>
  <c r="N13" i="22"/>
  <c r="M13" i="22"/>
  <c r="L13" i="22"/>
  <c r="K13" i="22"/>
  <c r="M64" i="2" s="1"/>
  <c r="J13" i="22"/>
  <c r="I13" i="22"/>
  <c r="H13" i="22"/>
  <c r="J64" i="2" s="1"/>
  <c r="G13" i="22"/>
  <c r="I64" i="2" s="1"/>
  <c r="F13" i="22"/>
  <c r="E13" i="22"/>
  <c r="D13" i="22"/>
  <c r="C13" i="22"/>
  <c r="B13" i="22"/>
  <c r="A13" i="22"/>
  <c r="S12" i="22"/>
  <c r="U63" i="2" s="1"/>
  <c r="R12" i="22"/>
  <c r="T63" i="2" s="1"/>
  <c r="Q12" i="22"/>
  <c r="P12" i="22"/>
  <c r="O12" i="22"/>
  <c r="Q63" i="2" s="1"/>
  <c r="N12" i="22"/>
  <c r="P63" i="2" s="1"/>
  <c r="M12" i="22"/>
  <c r="L12" i="22"/>
  <c r="K12" i="22"/>
  <c r="M63" i="2" s="1"/>
  <c r="J12" i="22"/>
  <c r="L63" i="2" s="1"/>
  <c r="I12" i="22"/>
  <c r="H12" i="22"/>
  <c r="G12" i="22"/>
  <c r="I63" i="2" s="1"/>
  <c r="F12" i="22"/>
  <c r="H63" i="2" s="1"/>
  <c r="E12" i="22"/>
  <c r="D12" i="22"/>
  <c r="C12" i="22"/>
  <c r="B12" i="22"/>
  <c r="A12" i="22"/>
  <c r="S11" i="22"/>
  <c r="R11" i="22"/>
  <c r="T62" i="2" s="1"/>
  <c r="Q11" i="22"/>
  <c r="S62" i="2" s="1"/>
  <c r="P11" i="22"/>
  <c r="O11" i="22"/>
  <c r="N11" i="22"/>
  <c r="P62" i="2" s="1"/>
  <c r="M11" i="22"/>
  <c r="O62" i="2" s="1"/>
  <c r="L11" i="22"/>
  <c r="K11" i="22"/>
  <c r="J11" i="22"/>
  <c r="L62" i="2" s="1"/>
  <c r="I11" i="22"/>
  <c r="K62" i="2" s="1"/>
  <c r="H11" i="22"/>
  <c r="G11" i="22"/>
  <c r="F11" i="22"/>
  <c r="E11" i="22"/>
  <c r="D11" i="22"/>
  <c r="C11" i="22"/>
  <c r="B11" i="22"/>
  <c r="A11" i="22"/>
  <c r="S10" i="22"/>
  <c r="R10" i="22"/>
  <c r="Q10" i="22"/>
  <c r="S61" i="2" s="1"/>
  <c r="P10" i="22"/>
  <c r="R61" i="2" s="1"/>
  <c r="O10" i="22"/>
  <c r="N10" i="22"/>
  <c r="M10" i="22"/>
  <c r="O61" i="2" s="1"/>
  <c r="L10" i="22"/>
  <c r="N61" i="2" s="1"/>
  <c r="K10" i="22"/>
  <c r="J10" i="22"/>
  <c r="I10" i="22"/>
  <c r="K61" i="2" s="1"/>
  <c r="H10" i="22"/>
  <c r="J61" i="2" s="1"/>
  <c r="G10" i="22"/>
  <c r="F10" i="22"/>
  <c r="E10" i="22"/>
  <c r="D10" i="22"/>
  <c r="C10" i="22"/>
  <c r="B10" i="22"/>
  <c r="A10" i="22"/>
  <c r="S9" i="22"/>
  <c r="U60" i="2" s="1"/>
  <c r="R9" i="22"/>
  <c r="Q9" i="22"/>
  <c r="P9" i="22"/>
  <c r="R60" i="2" s="1"/>
  <c r="O9" i="22"/>
  <c r="Q60" i="2" s="1"/>
  <c r="N9" i="22"/>
  <c r="M9" i="22"/>
  <c r="L9" i="22"/>
  <c r="N60" i="2" s="1"/>
  <c r="K9" i="22"/>
  <c r="M60" i="2" s="1"/>
  <c r="J9" i="22"/>
  <c r="I9" i="22"/>
  <c r="H9" i="22"/>
  <c r="J60" i="2" s="1"/>
  <c r="G9" i="22"/>
  <c r="I60" i="2" s="1"/>
  <c r="F9" i="22"/>
  <c r="E9" i="22"/>
  <c r="D9" i="22"/>
  <c r="C9" i="22"/>
  <c r="B9" i="22"/>
  <c r="A9" i="22"/>
  <c r="S8" i="22"/>
  <c r="U59" i="2" s="1"/>
  <c r="R8" i="22"/>
  <c r="T59" i="2" s="1"/>
  <c r="Q8" i="22"/>
  <c r="P8" i="22"/>
  <c r="O8" i="22"/>
  <c r="N8" i="22"/>
  <c r="P59" i="2" s="1"/>
  <c r="M8" i="22"/>
  <c r="L8" i="22"/>
  <c r="K8" i="22"/>
  <c r="M59" i="2" s="1"/>
  <c r="J8" i="22"/>
  <c r="L59" i="2" s="1"/>
  <c r="I8" i="22"/>
  <c r="H8" i="22"/>
  <c r="G8" i="22"/>
  <c r="I59" i="2" s="1"/>
  <c r="F8" i="22"/>
  <c r="H59" i="2" s="1"/>
  <c r="E8" i="22"/>
  <c r="D8" i="22"/>
  <c r="C8" i="22"/>
  <c r="B8" i="22"/>
  <c r="A8" i="22"/>
  <c r="S7" i="22"/>
  <c r="R7" i="22"/>
  <c r="T58" i="2" s="1"/>
  <c r="Q7" i="22"/>
  <c r="S58" i="2" s="1"/>
  <c r="P7" i="22"/>
  <c r="O7" i="22"/>
  <c r="N7" i="22"/>
  <c r="P58" i="2" s="1"/>
  <c r="M7" i="22"/>
  <c r="O58" i="2" s="1"/>
  <c r="L7" i="22"/>
  <c r="K7" i="22"/>
  <c r="J7" i="22"/>
  <c r="I7" i="22"/>
  <c r="K58" i="2" s="1"/>
  <c r="H7" i="22"/>
  <c r="G7" i="22"/>
  <c r="F7" i="22"/>
  <c r="E7" i="22"/>
  <c r="D7" i="22"/>
  <c r="C7" i="22"/>
  <c r="B7" i="22"/>
  <c r="A7" i="22"/>
  <c r="S6" i="22"/>
  <c r="R6" i="22"/>
  <c r="Q6" i="22"/>
  <c r="P6" i="22"/>
  <c r="R57" i="2" s="1"/>
  <c r="O6" i="22"/>
  <c r="N6" i="22"/>
  <c r="M6" i="22"/>
  <c r="O57" i="2" s="1"/>
  <c r="L6" i="22"/>
  <c r="N57" i="2" s="1"/>
  <c r="K6" i="22"/>
  <c r="J6" i="22"/>
  <c r="I6" i="22"/>
  <c r="K57" i="2" s="1"/>
  <c r="H6" i="22"/>
  <c r="J57" i="2" s="1"/>
  <c r="G6" i="22"/>
  <c r="F6" i="22"/>
  <c r="E6" i="22"/>
  <c r="D6" i="22"/>
  <c r="C6" i="22"/>
  <c r="B6" i="22"/>
  <c r="A6" i="22"/>
  <c r="S5" i="22"/>
  <c r="U56" i="2" s="1"/>
  <c r="R5" i="22"/>
  <c r="Q5" i="22"/>
  <c r="P5" i="22"/>
  <c r="R56" i="2" s="1"/>
  <c r="O5" i="22"/>
  <c r="Q56" i="2" s="1"/>
  <c r="N5" i="22"/>
  <c r="M5" i="22"/>
  <c r="L5" i="22"/>
  <c r="N56" i="2" s="1"/>
  <c r="K5" i="22"/>
  <c r="M56" i="2" s="1"/>
  <c r="J5" i="22"/>
  <c r="I5" i="22"/>
  <c r="H5" i="22"/>
  <c r="G5" i="22"/>
  <c r="I56" i="2" s="1"/>
  <c r="F5" i="22"/>
  <c r="E5" i="22"/>
  <c r="D5" i="22"/>
  <c r="C5" i="22"/>
  <c r="B5" i="22"/>
  <c r="A5" i="22"/>
  <c r="S4" i="22"/>
  <c r="R4" i="22"/>
  <c r="T55" i="2" s="1"/>
  <c r="Q4" i="22"/>
  <c r="P4" i="22"/>
  <c r="O4" i="22"/>
  <c r="N4" i="22"/>
  <c r="P55" i="2" s="1"/>
  <c r="M4" i="22"/>
  <c r="L4" i="22"/>
  <c r="K4" i="22"/>
  <c r="M55" i="2" s="1"/>
  <c r="J4" i="22"/>
  <c r="L55" i="2" s="1"/>
  <c r="I4" i="22"/>
  <c r="H4" i="22"/>
  <c r="G4" i="22"/>
  <c r="I55" i="2" s="1"/>
  <c r="F4" i="22"/>
  <c r="H55" i="2" s="1"/>
  <c r="E4" i="22"/>
  <c r="D4" i="22"/>
  <c r="C4" i="22"/>
  <c r="B4" i="22"/>
  <c r="A4" i="22"/>
  <c r="S3" i="22"/>
  <c r="R3" i="22"/>
  <c r="T54" i="2" s="1"/>
  <c r="Q3" i="22"/>
  <c r="S54" i="2" s="1"/>
  <c r="P3" i="22"/>
  <c r="O3" i="22"/>
  <c r="N3" i="22"/>
  <c r="M3" i="22"/>
  <c r="O54" i="2" s="1"/>
  <c r="L3" i="22"/>
  <c r="K3" i="22"/>
  <c r="J3" i="22"/>
  <c r="I3" i="22"/>
  <c r="K54" i="2" s="1"/>
  <c r="H3" i="22"/>
  <c r="G3" i="22"/>
  <c r="F3" i="22"/>
  <c r="H54" i="2" s="1"/>
  <c r="E3" i="22"/>
  <c r="D3" i="22"/>
  <c r="C3" i="22"/>
  <c r="B3" i="22"/>
  <c r="A3" i="22"/>
  <c r="S2" i="22"/>
  <c r="R2" i="22"/>
  <c r="Q2" i="22"/>
  <c r="S53" i="2" s="1"/>
  <c r="P2" i="22"/>
  <c r="R53" i="2" s="1"/>
  <c r="O2" i="22"/>
  <c r="N2" i="22"/>
  <c r="M2" i="22"/>
  <c r="O53" i="2" s="1"/>
  <c r="L2" i="22"/>
  <c r="N53" i="2" s="1"/>
  <c r="K2" i="22"/>
  <c r="J2" i="22"/>
  <c r="I2" i="22"/>
  <c r="K53" i="2" s="1"/>
  <c r="H2" i="22"/>
  <c r="J53" i="2" s="1"/>
  <c r="G2" i="22"/>
  <c r="F2" i="22"/>
  <c r="E2" i="22"/>
  <c r="D2" i="22"/>
  <c r="C2" i="22"/>
  <c r="B2" i="22"/>
  <c r="A2" i="22"/>
  <c r="S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A1" i="22"/>
  <c r="S26" i="21"/>
  <c r="R26" i="21"/>
  <c r="P77" i="1" s="1"/>
  <c r="Q26" i="21"/>
  <c r="P26" i="21"/>
  <c r="O26" i="21"/>
  <c r="N26" i="21"/>
  <c r="L77" i="1" s="1"/>
  <c r="M26" i="21"/>
  <c r="L26" i="21"/>
  <c r="K26" i="21"/>
  <c r="J26" i="21"/>
  <c r="H77" i="1" s="1"/>
  <c r="I26" i="21"/>
  <c r="H26" i="21"/>
  <c r="G26" i="21"/>
  <c r="F26" i="21"/>
  <c r="D77" i="1" s="1"/>
  <c r="E26" i="21"/>
  <c r="D26" i="21"/>
  <c r="F77" i="3" s="1"/>
  <c r="C26" i="21"/>
  <c r="E77" i="3" s="1"/>
  <c r="B26" i="21"/>
  <c r="A26" i="21"/>
  <c r="S25" i="21"/>
  <c r="R25" i="21"/>
  <c r="Q25" i="21"/>
  <c r="O76" i="1" s="1"/>
  <c r="P25" i="21"/>
  <c r="O25" i="21"/>
  <c r="N25" i="21"/>
  <c r="M25" i="21"/>
  <c r="K76" i="1" s="1"/>
  <c r="L25" i="21"/>
  <c r="K25" i="21"/>
  <c r="J25" i="21"/>
  <c r="H76" i="1" s="1"/>
  <c r="I25" i="21"/>
  <c r="G76" i="1" s="1"/>
  <c r="H25" i="21"/>
  <c r="G25" i="21"/>
  <c r="F25" i="21"/>
  <c r="E25" i="21"/>
  <c r="D25" i="21"/>
  <c r="C25" i="21"/>
  <c r="B25" i="21"/>
  <c r="A25" i="21"/>
  <c r="S24" i="21"/>
  <c r="R24" i="21"/>
  <c r="Q24" i="21"/>
  <c r="P24" i="21"/>
  <c r="N75" i="1" s="1"/>
  <c r="O24" i="21"/>
  <c r="N24" i="21"/>
  <c r="M24" i="21"/>
  <c r="L24" i="21"/>
  <c r="J75" i="1" s="1"/>
  <c r="K24" i="21"/>
  <c r="J24" i="21"/>
  <c r="I24" i="21"/>
  <c r="H24" i="21"/>
  <c r="F75" i="1" s="1"/>
  <c r="G24" i="21"/>
  <c r="F24" i="21"/>
  <c r="E24" i="21"/>
  <c r="G75" i="3" s="1"/>
  <c r="D24" i="21"/>
  <c r="C24" i="21"/>
  <c r="B24" i="21"/>
  <c r="A24" i="21"/>
  <c r="S23" i="21"/>
  <c r="Q74" i="1" s="1"/>
  <c r="R23" i="21"/>
  <c r="Q23" i="21"/>
  <c r="P23" i="21"/>
  <c r="N74" i="1" s="1"/>
  <c r="O23" i="21"/>
  <c r="M74" i="1" s="1"/>
  <c r="N23" i="21"/>
  <c r="M23" i="21"/>
  <c r="L23" i="21"/>
  <c r="K23" i="21"/>
  <c r="I74" i="1" s="1"/>
  <c r="J23" i="21"/>
  <c r="I23" i="21"/>
  <c r="H23" i="21"/>
  <c r="G23" i="21"/>
  <c r="E74" i="1" s="1"/>
  <c r="F23" i="21"/>
  <c r="E23" i="21"/>
  <c r="G74" i="3" s="1"/>
  <c r="D23" i="21"/>
  <c r="C23" i="21"/>
  <c r="E74" i="2" s="1"/>
  <c r="B23" i="21"/>
  <c r="A23" i="21"/>
  <c r="S22" i="21"/>
  <c r="Q73" i="1" s="1"/>
  <c r="R22" i="21"/>
  <c r="P73" i="1" s="1"/>
  <c r="Q22" i="21"/>
  <c r="P22" i="21"/>
  <c r="O22" i="21"/>
  <c r="M73" i="1" s="1"/>
  <c r="N22" i="21"/>
  <c r="M22" i="21"/>
  <c r="L22" i="21"/>
  <c r="K22" i="21"/>
  <c r="I73" i="1" s="1"/>
  <c r="J22" i="21"/>
  <c r="H73" i="1" s="1"/>
  <c r="I22" i="21"/>
  <c r="H22" i="21"/>
  <c r="G22" i="21"/>
  <c r="E73" i="1" s="1"/>
  <c r="F22" i="21"/>
  <c r="D73" i="1" s="1"/>
  <c r="E22" i="21"/>
  <c r="D22" i="21"/>
  <c r="C22" i="21"/>
  <c r="E73" i="3" s="1"/>
  <c r="B22" i="21"/>
  <c r="A22" i="21"/>
  <c r="S21" i="21"/>
  <c r="R21" i="21"/>
  <c r="Q21" i="21"/>
  <c r="O72" i="1" s="1"/>
  <c r="P21" i="21"/>
  <c r="O21" i="21"/>
  <c r="N21" i="21"/>
  <c r="M21" i="21"/>
  <c r="K72" i="1" s="1"/>
  <c r="L21" i="21"/>
  <c r="K21" i="21"/>
  <c r="J21" i="21"/>
  <c r="I21" i="21"/>
  <c r="G72" i="1" s="1"/>
  <c r="H21" i="21"/>
  <c r="G21" i="21"/>
  <c r="F21" i="21"/>
  <c r="D72" i="1" s="1"/>
  <c r="E21" i="21"/>
  <c r="D21" i="21"/>
  <c r="C21" i="21"/>
  <c r="E72" i="3" s="1"/>
  <c r="B21" i="21"/>
  <c r="A21" i="21"/>
  <c r="S20" i="21"/>
  <c r="R20" i="21"/>
  <c r="Q20" i="21"/>
  <c r="P20" i="21"/>
  <c r="N71" i="1" s="1"/>
  <c r="O20" i="21"/>
  <c r="N20" i="21"/>
  <c r="M20" i="21"/>
  <c r="L20" i="21"/>
  <c r="J71" i="1" s="1"/>
  <c r="K20" i="21"/>
  <c r="J20" i="21"/>
  <c r="I20" i="21"/>
  <c r="H20" i="21"/>
  <c r="F71" i="1" s="1"/>
  <c r="G20" i="21"/>
  <c r="F20" i="21"/>
  <c r="E20" i="21"/>
  <c r="D20" i="21"/>
  <c r="C20" i="21"/>
  <c r="B20" i="21"/>
  <c r="A20" i="21"/>
  <c r="S19" i="21"/>
  <c r="Q70" i="1" s="1"/>
  <c r="R19" i="21"/>
  <c r="Q19" i="21"/>
  <c r="P19" i="21"/>
  <c r="O19" i="21"/>
  <c r="M70" i="1" s="1"/>
  <c r="N19" i="21"/>
  <c r="M19" i="21"/>
  <c r="L19" i="21"/>
  <c r="J70" i="1" s="1"/>
  <c r="K19" i="21"/>
  <c r="I70" i="1" s="1"/>
  <c r="J19" i="21"/>
  <c r="I19" i="21"/>
  <c r="H19" i="21"/>
  <c r="G19" i="21"/>
  <c r="E70" i="1" s="1"/>
  <c r="F19" i="21"/>
  <c r="E19" i="21"/>
  <c r="D19" i="21"/>
  <c r="F70" i="3" s="1"/>
  <c r="C19" i="21"/>
  <c r="B19" i="21"/>
  <c r="A19" i="21"/>
  <c r="S18" i="21"/>
  <c r="R18" i="21"/>
  <c r="P69" i="1" s="1"/>
  <c r="Q18" i="21"/>
  <c r="P18" i="21"/>
  <c r="O18" i="21"/>
  <c r="N18" i="21"/>
  <c r="L69" i="1" s="1"/>
  <c r="M18" i="21"/>
  <c r="L18" i="21"/>
  <c r="K18" i="21"/>
  <c r="J18" i="21"/>
  <c r="H69" i="1" s="1"/>
  <c r="I18" i="21"/>
  <c r="H18" i="21"/>
  <c r="G18" i="21"/>
  <c r="F18" i="21"/>
  <c r="D69" i="1" s="1"/>
  <c r="E18" i="21"/>
  <c r="D18" i="21"/>
  <c r="F69" i="3" s="1"/>
  <c r="C18" i="21"/>
  <c r="B18" i="21"/>
  <c r="A18" i="21"/>
  <c r="S17" i="21"/>
  <c r="R17" i="21"/>
  <c r="P68" i="1" s="1"/>
  <c r="Q17" i="21"/>
  <c r="O68" i="1" s="1"/>
  <c r="P17" i="21"/>
  <c r="O17" i="21"/>
  <c r="N17" i="21"/>
  <c r="M17" i="21"/>
  <c r="K68" i="1" s="1"/>
  <c r="L17" i="21"/>
  <c r="K17" i="21"/>
  <c r="J17" i="21"/>
  <c r="I17" i="21"/>
  <c r="G68" i="1" s="1"/>
  <c r="H17" i="21"/>
  <c r="G17" i="21"/>
  <c r="F17" i="21"/>
  <c r="E17" i="21"/>
  <c r="D17" i="21"/>
  <c r="C17" i="21"/>
  <c r="B17" i="21"/>
  <c r="A17" i="21"/>
  <c r="S16" i="21"/>
  <c r="R16" i="21"/>
  <c r="Q16" i="21"/>
  <c r="O67" i="1" s="1"/>
  <c r="P16" i="21"/>
  <c r="N67" i="1" s="1"/>
  <c r="O16" i="21"/>
  <c r="N16" i="21"/>
  <c r="M16" i="21"/>
  <c r="K67" i="1" s="1"/>
  <c r="L16" i="21"/>
  <c r="J67" i="1" s="1"/>
  <c r="K16" i="21"/>
  <c r="J16" i="21"/>
  <c r="I16" i="21"/>
  <c r="G67" i="1" s="1"/>
  <c r="H16" i="21"/>
  <c r="F67" i="1" s="1"/>
  <c r="G16" i="21"/>
  <c r="F16" i="21"/>
  <c r="E16" i="21"/>
  <c r="D16" i="21"/>
  <c r="C16" i="21"/>
  <c r="B16" i="21"/>
  <c r="A16" i="21"/>
  <c r="S15" i="21"/>
  <c r="Q66" i="1" s="1"/>
  <c r="R15" i="21"/>
  <c r="Q15" i="21"/>
  <c r="P15" i="21"/>
  <c r="O15" i="21"/>
  <c r="M66" i="1" s="1"/>
  <c r="N15" i="21"/>
  <c r="M15" i="21"/>
  <c r="L15" i="21"/>
  <c r="K15" i="21"/>
  <c r="I66" i="1" s="1"/>
  <c r="J15" i="21"/>
  <c r="I15" i="21"/>
  <c r="H15" i="21"/>
  <c r="F66" i="1" s="1"/>
  <c r="G15" i="21"/>
  <c r="E66" i="1" s="1"/>
  <c r="F15" i="21"/>
  <c r="E15" i="21"/>
  <c r="D15" i="21"/>
  <c r="F66" i="3" s="1"/>
  <c r="C15" i="21"/>
  <c r="B15" i="21"/>
  <c r="A15" i="21"/>
  <c r="S14" i="21"/>
  <c r="R14" i="21"/>
  <c r="P65" i="1" s="1"/>
  <c r="Q14" i="21"/>
  <c r="P14" i="21"/>
  <c r="O14" i="21"/>
  <c r="N14" i="21"/>
  <c r="L65" i="1" s="1"/>
  <c r="M14" i="21"/>
  <c r="L14" i="21"/>
  <c r="K14" i="21"/>
  <c r="J14" i="21"/>
  <c r="H65" i="1" s="1"/>
  <c r="I14" i="21"/>
  <c r="H14" i="21"/>
  <c r="G14" i="21"/>
  <c r="F14" i="21"/>
  <c r="D65" i="1" s="1"/>
  <c r="E14" i="21"/>
  <c r="D14" i="21"/>
  <c r="C14" i="21"/>
  <c r="B14" i="21"/>
  <c r="A14" i="21"/>
  <c r="S13" i="21"/>
  <c r="R13" i="21"/>
  <c r="Q13" i="21"/>
  <c r="O64" i="1" s="1"/>
  <c r="P13" i="21"/>
  <c r="O13" i="21"/>
  <c r="N13" i="21"/>
  <c r="L64" i="1" s="1"/>
  <c r="M13" i="21"/>
  <c r="K64" i="1" s="1"/>
  <c r="L13" i="21"/>
  <c r="K13" i="21"/>
  <c r="J13" i="21"/>
  <c r="I13" i="21"/>
  <c r="G64" i="1" s="1"/>
  <c r="H13" i="21"/>
  <c r="G13" i="21"/>
  <c r="F13" i="21"/>
  <c r="E13" i="21"/>
  <c r="D13" i="21"/>
  <c r="C13" i="21"/>
  <c r="B13" i="21"/>
  <c r="A13" i="21"/>
  <c r="S12" i="21"/>
  <c r="R12" i="21"/>
  <c r="Q12" i="21"/>
  <c r="P12" i="21"/>
  <c r="N63" i="1" s="1"/>
  <c r="O12" i="21"/>
  <c r="N12" i="21"/>
  <c r="M12" i="21"/>
  <c r="L12" i="21"/>
  <c r="J63" i="1" s="1"/>
  <c r="K12" i="21"/>
  <c r="J12" i="21"/>
  <c r="I12" i="21"/>
  <c r="H12" i="21"/>
  <c r="F63" i="1" s="1"/>
  <c r="G12" i="21"/>
  <c r="F12" i="21"/>
  <c r="E12" i="21"/>
  <c r="G63" i="3" s="1"/>
  <c r="D12" i="21"/>
  <c r="F63" i="2" s="1"/>
  <c r="C12" i="21"/>
  <c r="B12" i="21"/>
  <c r="A12" i="21"/>
  <c r="S11" i="21"/>
  <c r="Q62" i="1" s="1"/>
  <c r="R11" i="21"/>
  <c r="Q11" i="21"/>
  <c r="P11" i="21"/>
  <c r="O11" i="21"/>
  <c r="M62" i="1" s="1"/>
  <c r="N11" i="21"/>
  <c r="M11" i="21"/>
  <c r="L11" i="21"/>
  <c r="K11" i="21"/>
  <c r="I62" i="1" s="1"/>
  <c r="J11" i="21"/>
  <c r="I11" i="21"/>
  <c r="H11" i="21"/>
  <c r="G11" i="21"/>
  <c r="E62" i="1" s="1"/>
  <c r="F11" i="21"/>
  <c r="E11" i="21"/>
  <c r="D11" i="21"/>
  <c r="C11" i="21"/>
  <c r="B11" i="21"/>
  <c r="A11" i="21"/>
  <c r="S10" i="21"/>
  <c r="R10" i="21"/>
  <c r="P61" i="1" s="1"/>
  <c r="Q10" i="21"/>
  <c r="P10" i="21"/>
  <c r="O10" i="21"/>
  <c r="N10" i="21"/>
  <c r="L61" i="1" s="1"/>
  <c r="M10" i="21"/>
  <c r="L10" i="21"/>
  <c r="K10" i="21"/>
  <c r="J10" i="21"/>
  <c r="H61" i="1" s="1"/>
  <c r="I10" i="21"/>
  <c r="H10" i="21"/>
  <c r="G10" i="21"/>
  <c r="E61" i="1" s="1"/>
  <c r="F10" i="21"/>
  <c r="D61" i="1" s="1"/>
  <c r="E10" i="21"/>
  <c r="D10" i="21"/>
  <c r="C10" i="21"/>
  <c r="E61" i="3" s="1"/>
  <c r="B10" i="21"/>
  <c r="D61" i="3" s="1"/>
  <c r="A10" i="21"/>
  <c r="S9" i="21"/>
  <c r="R9" i="21"/>
  <c r="Q9" i="21"/>
  <c r="O60" i="1" s="1"/>
  <c r="P9" i="21"/>
  <c r="O9" i="21"/>
  <c r="N9" i="21"/>
  <c r="M9" i="21"/>
  <c r="K60" i="1" s="1"/>
  <c r="L9" i="21"/>
  <c r="K9" i="21"/>
  <c r="J9" i="21"/>
  <c r="H60" i="1" s="1"/>
  <c r="I9" i="21"/>
  <c r="G60" i="1" s="1"/>
  <c r="H9" i="21"/>
  <c r="G9" i="21"/>
  <c r="F9" i="21"/>
  <c r="E9" i="21"/>
  <c r="D9" i="21"/>
  <c r="C9" i="21"/>
  <c r="B9" i="21"/>
  <c r="D60" i="3" s="1"/>
  <c r="A9" i="21"/>
  <c r="S8" i="21"/>
  <c r="R8" i="21"/>
  <c r="Q8" i="21"/>
  <c r="P8" i="21"/>
  <c r="N59" i="1" s="1"/>
  <c r="O8" i="21"/>
  <c r="N8" i="21"/>
  <c r="M8" i="21"/>
  <c r="L8" i="21"/>
  <c r="J59" i="1" s="1"/>
  <c r="K8" i="21"/>
  <c r="J8" i="21"/>
  <c r="I8" i="21"/>
  <c r="G59" i="1" s="1"/>
  <c r="H8" i="21"/>
  <c r="F59" i="1" s="1"/>
  <c r="G8" i="21"/>
  <c r="F8" i="21"/>
  <c r="E8" i="21"/>
  <c r="G59" i="3" s="1"/>
  <c r="D8" i="21"/>
  <c r="C8" i="21"/>
  <c r="B8" i="21"/>
  <c r="A8" i="21"/>
  <c r="S7" i="21"/>
  <c r="Q58" i="1" s="1"/>
  <c r="R7" i="21"/>
  <c r="Q7" i="21"/>
  <c r="P7" i="21"/>
  <c r="O7" i="21"/>
  <c r="M58" i="1" s="1"/>
  <c r="N7" i="21"/>
  <c r="M7" i="21"/>
  <c r="L7" i="21"/>
  <c r="J58" i="1" s="1"/>
  <c r="K7" i="21"/>
  <c r="I58" i="1" s="1"/>
  <c r="J7" i="21"/>
  <c r="I7" i="21"/>
  <c r="H7" i="21"/>
  <c r="G7" i="21"/>
  <c r="E58" i="1" s="1"/>
  <c r="F7" i="21"/>
  <c r="E7" i="21"/>
  <c r="D7" i="21"/>
  <c r="C7" i="21"/>
  <c r="B7" i="21"/>
  <c r="A7" i="21"/>
  <c r="S6" i="21"/>
  <c r="R6" i="21"/>
  <c r="P57" i="1" s="1"/>
  <c r="Q6" i="21"/>
  <c r="P6" i="21"/>
  <c r="O6" i="21"/>
  <c r="M57" i="1" s="1"/>
  <c r="N6" i="21"/>
  <c r="L57" i="1" s="1"/>
  <c r="M6" i="21"/>
  <c r="L6" i="21"/>
  <c r="K6" i="21"/>
  <c r="J6" i="21"/>
  <c r="H57" i="1" s="1"/>
  <c r="I6" i="21"/>
  <c r="H6" i="21"/>
  <c r="G6" i="21"/>
  <c r="F6" i="21"/>
  <c r="D57" i="1" s="1"/>
  <c r="E6" i="21"/>
  <c r="D6" i="21"/>
  <c r="C6" i="21"/>
  <c r="E57" i="3" s="1"/>
  <c r="B6" i="21"/>
  <c r="A6" i="21"/>
  <c r="S5" i="21"/>
  <c r="R5" i="21"/>
  <c r="P56" i="1" s="1"/>
  <c r="Q5" i="21"/>
  <c r="O56" i="1" s="1"/>
  <c r="P5" i="21"/>
  <c r="O5" i="21"/>
  <c r="N5" i="21"/>
  <c r="M5" i="21"/>
  <c r="K56" i="1" s="1"/>
  <c r="L5" i="21"/>
  <c r="K5" i="21"/>
  <c r="J5" i="21"/>
  <c r="I5" i="21"/>
  <c r="G56" i="1" s="1"/>
  <c r="H5" i="21"/>
  <c r="G5" i="21"/>
  <c r="F5" i="21"/>
  <c r="E5" i="21"/>
  <c r="D5" i="21"/>
  <c r="C5" i="21"/>
  <c r="E56" i="3" s="1"/>
  <c r="B5" i="21"/>
  <c r="A5" i="21"/>
  <c r="S4" i="21"/>
  <c r="R4" i="21"/>
  <c r="Q4" i="21"/>
  <c r="O55" i="1" s="1"/>
  <c r="P4" i="21"/>
  <c r="N55" i="1" s="1"/>
  <c r="O4" i="21"/>
  <c r="N4" i="21"/>
  <c r="M4" i="21"/>
  <c r="L4" i="21"/>
  <c r="J55" i="1" s="1"/>
  <c r="K4" i="21"/>
  <c r="J4" i="21"/>
  <c r="I4" i="21"/>
  <c r="H4" i="21"/>
  <c r="F55" i="1" s="1"/>
  <c r="G4" i="21"/>
  <c r="F4" i="21"/>
  <c r="E4" i="21"/>
  <c r="D4" i="21"/>
  <c r="C4" i="21"/>
  <c r="B4" i="21"/>
  <c r="A4" i="21"/>
  <c r="S3" i="21"/>
  <c r="Q54" i="1" s="1"/>
  <c r="R3" i="21"/>
  <c r="Q3" i="21"/>
  <c r="P3" i="21"/>
  <c r="O3" i="21"/>
  <c r="M54" i="1" s="1"/>
  <c r="N3" i="21"/>
  <c r="M3" i="21"/>
  <c r="L3" i="21"/>
  <c r="K3" i="21"/>
  <c r="I54" i="1" s="1"/>
  <c r="J3" i="21"/>
  <c r="I3" i="21"/>
  <c r="H3" i="21"/>
  <c r="G3" i="21"/>
  <c r="E54" i="1" s="1"/>
  <c r="F3" i="21"/>
  <c r="E3" i="21"/>
  <c r="D3" i="21"/>
  <c r="F54" i="3" s="1"/>
  <c r="C3" i="21"/>
  <c r="B3" i="21"/>
  <c r="A3" i="21"/>
  <c r="S2" i="21"/>
  <c r="R2" i="21"/>
  <c r="P53" i="1" s="1"/>
  <c r="Q2" i="21"/>
  <c r="P2" i="21"/>
  <c r="O2" i="21"/>
  <c r="N2" i="21"/>
  <c r="L53" i="1" s="1"/>
  <c r="M2" i="21"/>
  <c r="L2" i="21"/>
  <c r="K2" i="21"/>
  <c r="I53" i="1" s="1"/>
  <c r="J2" i="21"/>
  <c r="H53" i="1" s="1"/>
  <c r="I2" i="21"/>
  <c r="H2" i="21"/>
  <c r="G2" i="21"/>
  <c r="F2" i="21"/>
  <c r="D53" i="1" s="1"/>
  <c r="E2" i="21"/>
  <c r="D2" i="21"/>
  <c r="C2" i="21"/>
  <c r="E53" i="2" s="1"/>
  <c r="B2" i="21"/>
  <c r="A2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S17" i="20"/>
  <c r="R17" i="20"/>
  <c r="Q17" i="20"/>
  <c r="S52" i="2" s="1"/>
  <c r="P17" i="20"/>
  <c r="R52" i="2" s="1"/>
  <c r="O17" i="20"/>
  <c r="N17" i="20"/>
  <c r="M17" i="20"/>
  <c r="L17" i="20"/>
  <c r="N52" i="2" s="1"/>
  <c r="K17" i="20"/>
  <c r="J17" i="20"/>
  <c r="I17" i="20"/>
  <c r="K52" i="2" s="1"/>
  <c r="H17" i="20"/>
  <c r="J52" i="2" s="1"/>
  <c r="G17" i="20"/>
  <c r="F17" i="20"/>
  <c r="E17" i="20"/>
  <c r="D17" i="20"/>
  <c r="C17" i="20"/>
  <c r="B17" i="20"/>
  <c r="A17" i="20"/>
  <c r="S16" i="20"/>
  <c r="U51" i="2" s="1"/>
  <c r="R16" i="20"/>
  <c r="Q16" i="20"/>
  <c r="P16" i="20"/>
  <c r="O16" i="20"/>
  <c r="Q51" i="2" s="1"/>
  <c r="N16" i="20"/>
  <c r="M16" i="20"/>
  <c r="L16" i="20"/>
  <c r="N51" i="2" s="1"/>
  <c r="K16" i="20"/>
  <c r="M51" i="2" s="1"/>
  <c r="J16" i="20"/>
  <c r="I16" i="20"/>
  <c r="H16" i="20"/>
  <c r="J51" i="2" s="1"/>
  <c r="G16" i="20"/>
  <c r="I51" i="2" s="1"/>
  <c r="F16" i="20"/>
  <c r="E16" i="20"/>
  <c r="D16" i="20"/>
  <c r="C16" i="20"/>
  <c r="B16" i="20"/>
  <c r="A16" i="20"/>
  <c r="S15" i="20"/>
  <c r="U50" i="2" s="1"/>
  <c r="R15" i="20"/>
  <c r="T50" i="2" s="1"/>
  <c r="Q15" i="20"/>
  <c r="P15" i="20"/>
  <c r="O15" i="20"/>
  <c r="Q50" i="2" s="1"/>
  <c r="N15" i="20"/>
  <c r="P50" i="2" s="1"/>
  <c r="M15" i="20"/>
  <c r="L15" i="20"/>
  <c r="K15" i="20"/>
  <c r="M50" i="2" s="1"/>
  <c r="J15" i="20"/>
  <c r="L50" i="2" s="1"/>
  <c r="I15" i="20"/>
  <c r="H15" i="20"/>
  <c r="G15" i="20"/>
  <c r="I50" i="2" s="1"/>
  <c r="F15" i="20"/>
  <c r="H50" i="2" s="1"/>
  <c r="E15" i="20"/>
  <c r="D15" i="20"/>
  <c r="C15" i="20"/>
  <c r="B15" i="20"/>
  <c r="A15" i="20"/>
  <c r="S14" i="20"/>
  <c r="R14" i="20"/>
  <c r="Q14" i="20"/>
  <c r="S49" i="2" s="1"/>
  <c r="P14" i="20"/>
  <c r="O14" i="20"/>
  <c r="N14" i="20"/>
  <c r="P49" i="2" s="1"/>
  <c r="M14" i="20"/>
  <c r="O49" i="2" s="1"/>
  <c r="L14" i="20"/>
  <c r="K14" i="20"/>
  <c r="J14" i="20"/>
  <c r="L49" i="2" s="1"/>
  <c r="I14" i="20"/>
  <c r="K49" i="2" s="1"/>
  <c r="H14" i="20"/>
  <c r="G14" i="20"/>
  <c r="F14" i="20"/>
  <c r="H49" i="2" s="1"/>
  <c r="E14" i="20"/>
  <c r="D14" i="20"/>
  <c r="C14" i="20"/>
  <c r="B14" i="20"/>
  <c r="A14" i="20"/>
  <c r="S13" i="20"/>
  <c r="R13" i="20"/>
  <c r="Q13" i="20"/>
  <c r="S48" i="2" s="1"/>
  <c r="P13" i="20"/>
  <c r="R48" i="2" s="1"/>
  <c r="O13" i="20"/>
  <c r="N13" i="20"/>
  <c r="M13" i="20"/>
  <c r="O48" i="2" s="1"/>
  <c r="L13" i="20"/>
  <c r="N48" i="2" s="1"/>
  <c r="K13" i="20"/>
  <c r="J13" i="20"/>
  <c r="I13" i="20"/>
  <c r="K48" i="2" s="1"/>
  <c r="H13" i="20"/>
  <c r="J48" i="2" s="1"/>
  <c r="G13" i="20"/>
  <c r="F13" i="20"/>
  <c r="E13" i="20"/>
  <c r="D13" i="20"/>
  <c r="C13" i="20"/>
  <c r="B13" i="20"/>
  <c r="A13" i="20"/>
  <c r="S12" i="20"/>
  <c r="U47" i="2" s="1"/>
  <c r="R12" i="20"/>
  <c r="Q12" i="20"/>
  <c r="P12" i="20"/>
  <c r="R47" i="2" s="1"/>
  <c r="O12" i="20"/>
  <c r="Q47" i="2" s="1"/>
  <c r="N12" i="20"/>
  <c r="M12" i="20"/>
  <c r="L12" i="20"/>
  <c r="N47" i="2" s="1"/>
  <c r="K12" i="20"/>
  <c r="M47" i="2" s="1"/>
  <c r="J12" i="20"/>
  <c r="I12" i="20"/>
  <c r="H12" i="20"/>
  <c r="J47" i="2" s="1"/>
  <c r="G12" i="20"/>
  <c r="I47" i="2" s="1"/>
  <c r="F12" i="20"/>
  <c r="E12" i="20"/>
  <c r="D12" i="20"/>
  <c r="C12" i="20"/>
  <c r="B12" i="20"/>
  <c r="A12" i="20"/>
  <c r="S11" i="20"/>
  <c r="U46" i="2" s="1"/>
  <c r="R11" i="20"/>
  <c r="T46" i="2" s="1"/>
  <c r="Q11" i="20"/>
  <c r="P11" i="20"/>
  <c r="O11" i="20"/>
  <c r="Q46" i="2" s="1"/>
  <c r="N11" i="20"/>
  <c r="P46" i="2" s="1"/>
  <c r="M11" i="20"/>
  <c r="L11" i="20"/>
  <c r="K11" i="20"/>
  <c r="J11" i="20"/>
  <c r="L46" i="2" s="1"/>
  <c r="I11" i="20"/>
  <c r="H11" i="20"/>
  <c r="G11" i="20"/>
  <c r="F11" i="20"/>
  <c r="H46" i="2" s="1"/>
  <c r="E11" i="20"/>
  <c r="D11" i="20"/>
  <c r="C11" i="20"/>
  <c r="B11" i="20"/>
  <c r="A11" i="20"/>
  <c r="S10" i="20"/>
  <c r="R10" i="20"/>
  <c r="T45" i="2" s="1"/>
  <c r="Q10" i="20"/>
  <c r="S45" i="2" s="1"/>
  <c r="P10" i="20"/>
  <c r="O10" i="20"/>
  <c r="N10" i="20"/>
  <c r="M10" i="20"/>
  <c r="O45" i="2" s="1"/>
  <c r="L10" i="20"/>
  <c r="K10" i="20"/>
  <c r="J10" i="20"/>
  <c r="L45" i="2" s="1"/>
  <c r="I10" i="20"/>
  <c r="K45" i="2" s="1"/>
  <c r="H10" i="20"/>
  <c r="G10" i="20"/>
  <c r="F10" i="20"/>
  <c r="H45" i="2" s="1"/>
  <c r="E10" i="20"/>
  <c r="D10" i="20"/>
  <c r="C10" i="20"/>
  <c r="B10" i="20"/>
  <c r="A10" i="20"/>
  <c r="S9" i="20"/>
  <c r="R9" i="20"/>
  <c r="Q9" i="20"/>
  <c r="S44" i="2" s="1"/>
  <c r="P9" i="20"/>
  <c r="R44" i="2" s="1"/>
  <c r="O9" i="20"/>
  <c r="N9" i="20"/>
  <c r="M9" i="20"/>
  <c r="O44" i="2" s="1"/>
  <c r="L9" i="20"/>
  <c r="N44" i="2" s="1"/>
  <c r="K9" i="20"/>
  <c r="J9" i="20"/>
  <c r="I9" i="20"/>
  <c r="H9" i="20"/>
  <c r="J44" i="2" s="1"/>
  <c r="G9" i="20"/>
  <c r="F9" i="20"/>
  <c r="E9" i="20"/>
  <c r="D9" i="20"/>
  <c r="C9" i="20"/>
  <c r="B9" i="20"/>
  <c r="A9" i="20"/>
  <c r="S8" i="20"/>
  <c r="U43" i="2" s="1"/>
  <c r="R8" i="20"/>
  <c r="Q8" i="20"/>
  <c r="P8" i="20"/>
  <c r="R43" i="2" s="1"/>
  <c r="O8" i="20"/>
  <c r="Q43" i="2" s="1"/>
  <c r="N8" i="20"/>
  <c r="M8" i="20"/>
  <c r="L8" i="20"/>
  <c r="K8" i="20"/>
  <c r="M43" i="2" s="1"/>
  <c r="J8" i="20"/>
  <c r="I8" i="20"/>
  <c r="H8" i="20"/>
  <c r="J43" i="2" s="1"/>
  <c r="G8" i="20"/>
  <c r="I43" i="2" s="1"/>
  <c r="F8" i="20"/>
  <c r="E8" i="20"/>
  <c r="D8" i="20"/>
  <c r="C8" i="20"/>
  <c r="B8" i="20"/>
  <c r="A8" i="20"/>
  <c r="S7" i="20"/>
  <c r="R7" i="20"/>
  <c r="T42" i="2" s="1"/>
  <c r="Q7" i="20"/>
  <c r="P7" i="20"/>
  <c r="O7" i="20"/>
  <c r="N7" i="20"/>
  <c r="P42" i="2" s="1"/>
  <c r="M7" i="20"/>
  <c r="L7" i="20"/>
  <c r="K7" i="20"/>
  <c r="M42" i="2" s="1"/>
  <c r="J7" i="20"/>
  <c r="L42" i="2" s="1"/>
  <c r="I7" i="20"/>
  <c r="H7" i="20"/>
  <c r="G7" i="20"/>
  <c r="I42" i="2" s="1"/>
  <c r="F7" i="20"/>
  <c r="H42" i="2" s="1"/>
  <c r="E7" i="20"/>
  <c r="D7" i="20"/>
  <c r="C7" i="20"/>
  <c r="B7" i="20"/>
  <c r="A7" i="20"/>
  <c r="S6" i="20"/>
  <c r="R6" i="20"/>
  <c r="T41" i="2" s="1"/>
  <c r="Q6" i="20"/>
  <c r="S41" i="2" s="1"/>
  <c r="P6" i="20"/>
  <c r="O6" i="20"/>
  <c r="N6" i="20"/>
  <c r="P41" i="2" s="1"/>
  <c r="M6" i="20"/>
  <c r="O41" i="2" s="1"/>
  <c r="L6" i="20"/>
  <c r="K6" i="20"/>
  <c r="J6" i="20"/>
  <c r="L41" i="2" s="1"/>
  <c r="I6" i="20"/>
  <c r="K41" i="2" s="1"/>
  <c r="H6" i="20"/>
  <c r="G6" i="20"/>
  <c r="F6" i="20"/>
  <c r="E6" i="20"/>
  <c r="D6" i="20"/>
  <c r="C6" i="20"/>
  <c r="B6" i="20"/>
  <c r="A6" i="20"/>
  <c r="S5" i="20"/>
  <c r="R5" i="20"/>
  <c r="Q5" i="20"/>
  <c r="P5" i="20"/>
  <c r="R40" i="2" s="1"/>
  <c r="O5" i="20"/>
  <c r="N5" i="20"/>
  <c r="M5" i="20"/>
  <c r="L5" i="20"/>
  <c r="N40" i="2" s="1"/>
  <c r="K5" i="20"/>
  <c r="J5" i="20"/>
  <c r="I5" i="20"/>
  <c r="H5" i="20"/>
  <c r="J40" i="2" s="1"/>
  <c r="G5" i="20"/>
  <c r="F5" i="20"/>
  <c r="E5" i="20"/>
  <c r="D5" i="20"/>
  <c r="C5" i="20"/>
  <c r="B5" i="20"/>
  <c r="A5" i="20"/>
  <c r="S4" i="20"/>
  <c r="U39" i="2" s="1"/>
  <c r="R4" i="20"/>
  <c r="Q4" i="20"/>
  <c r="P4" i="20"/>
  <c r="R39" i="2" s="1"/>
  <c r="O4" i="20"/>
  <c r="Q39" i="2" s="1"/>
  <c r="N4" i="20"/>
  <c r="M4" i="20"/>
  <c r="L4" i="20"/>
  <c r="K4" i="20"/>
  <c r="M39" i="2" s="1"/>
  <c r="J4" i="20"/>
  <c r="I4" i="20"/>
  <c r="H4" i="20"/>
  <c r="J39" i="2" s="1"/>
  <c r="G4" i="20"/>
  <c r="I39" i="2" s="1"/>
  <c r="F4" i="20"/>
  <c r="E4" i="20"/>
  <c r="D4" i="20"/>
  <c r="C4" i="20"/>
  <c r="B4" i="20"/>
  <c r="A4" i="20"/>
  <c r="S3" i="20"/>
  <c r="U38" i="2" s="1"/>
  <c r="R3" i="20"/>
  <c r="T38" i="2" s="1"/>
  <c r="Q3" i="20"/>
  <c r="P3" i="20"/>
  <c r="O3" i="20"/>
  <c r="Q38" i="2" s="1"/>
  <c r="N3" i="20"/>
  <c r="P38" i="2" s="1"/>
  <c r="M3" i="20"/>
  <c r="L3" i="20"/>
  <c r="K3" i="20"/>
  <c r="M38" i="2" s="1"/>
  <c r="J3" i="20"/>
  <c r="L38" i="2" s="1"/>
  <c r="I3" i="20"/>
  <c r="H3" i="20"/>
  <c r="G3" i="20"/>
  <c r="I38" i="2" s="1"/>
  <c r="F3" i="20"/>
  <c r="H38" i="2" s="1"/>
  <c r="E3" i="20"/>
  <c r="D3" i="20"/>
  <c r="C3" i="20"/>
  <c r="B3" i="20"/>
  <c r="A3" i="20"/>
  <c r="S2" i="20"/>
  <c r="R2" i="20"/>
  <c r="T37" i="2" s="1"/>
  <c r="Q2" i="20"/>
  <c r="S37" i="2" s="1"/>
  <c r="P2" i="20"/>
  <c r="O2" i="20"/>
  <c r="N2" i="20"/>
  <c r="M2" i="20"/>
  <c r="O37" i="2" s="1"/>
  <c r="L2" i="20"/>
  <c r="K2" i="20"/>
  <c r="J2" i="20"/>
  <c r="L37" i="2" s="1"/>
  <c r="I2" i="20"/>
  <c r="K37" i="2" s="1"/>
  <c r="H2" i="20"/>
  <c r="G2" i="20"/>
  <c r="F2" i="20"/>
  <c r="H37" i="2" s="1"/>
  <c r="E2" i="20"/>
  <c r="D2" i="20"/>
  <c r="C2" i="20"/>
  <c r="B2" i="20"/>
  <c r="A2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S17" i="19"/>
  <c r="Q52" i="1" s="1"/>
  <c r="R17" i="19"/>
  <c r="Q17" i="19"/>
  <c r="P17" i="19"/>
  <c r="O17" i="19"/>
  <c r="M52" i="1" s="1"/>
  <c r="N17" i="19"/>
  <c r="M17" i="19"/>
  <c r="L17" i="19"/>
  <c r="K17" i="19"/>
  <c r="I52" i="1" s="1"/>
  <c r="J17" i="19"/>
  <c r="I17" i="19"/>
  <c r="H17" i="19"/>
  <c r="F52" i="1" s="1"/>
  <c r="G17" i="19"/>
  <c r="E52" i="1" s="1"/>
  <c r="F17" i="19"/>
  <c r="E17" i="19"/>
  <c r="G52" i="3" s="1"/>
  <c r="D17" i="19"/>
  <c r="F52" i="3" s="1"/>
  <c r="C17" i="19"/>
  <c r="E52" i="3" s="1"/>
  <c r="B17" i="19"/>
  <c r="A17" i="19"/>
  <c r="S16" i="19"/>
  <c r="R16" i="19"/>
  <c r="P51" i="1" s="1"/>
  <c r="Q16" i="19"/>
  <c r="P16" i="19"/>
  <c r="O16" i="19"/>
  <c r="N16" i="19"/>
  <c r="L51" i="1" s="1"/>
  <c r="M16" i="19"/>
  <c r="L16" i="19"/>
  <c r="K16" i="19"/>
  <c r="I51" i="1" s="1"/>
  <c r="J16" i="19"/>
  <c r="H51" i="1" s="1"/>
  <c r="I16" i="19"/>
  <c r="H16" i="19"/>
  <c r="G16" i="19"/>
  <c r="F16" i="19"/>
  <c r="D51" i="1" s="1"/>
  <c r="E16" i="19"/>
  <c r="D16" i="19"/>
  <c r="F51" i="3" s="1"/>
  <c r="C16" i="19"/>
  <c r="E51" i="3" s="1"/>
  <c r="B16" i="19"/>
  <c r="A16" i="19"/>
  <c r="S15" i="19"/>
  <c r="R15" i="19"/>
  <c r="Q15" i="19"/>
  <c r="O50" i="1" s="1"/>
  <c r="P15" i="19"/>
  <c r="O15" i="19"/>
  <c r="N15" i="19"/>
  <c r="M15" i="19"/>
  <c r="K50" i="1" s="1"/>
  <c r="L15" i="19"/>
  <c r="K15" i="19"/>
  <c r="J15" i="19"/>
  <c r="I15" i="19"/>
  <c r="G50" i="1" s="1"/>
  <c r="H15" i="19"/>
  <c r="G15" i="19"/>
  <c r="F15" i="19"/>
  <c r="E15" i="19"/>
  <c r="G50" i="3" s="1"/>
  <c r="D15" i="19"/>
  <c r="C15" i="19"/>
  <c r="B15" i="19"/>
  <c r="D50" i="3" s="1"/>
  <c r="A15" i="19"/>
  <c r="S14" i="19"/>
  <c r="R14" i="19"/>
  <c r="Q14" i="19"/>
  <c r="O49" i="1" s="1"/>
  <c r="P14" i="19"/>
  <c r="N49" i="1" s="1"/>
  <c r="O14" i="19"/>
  <c r="N14" i="19"/>
  <c r="M14" i="19"/>
  <c r="L14" i="19"/>
  <c r="J49" i="1" s="1"/>
  <c r="K14" i="19"/>
  <c r="J14" i="19"/>
  <c r="I14" i="19"/>
  <c r="H14" i="19"/>
  <c r="F49" i="1" s="1"/>
  <c r="G14" i="19"/>
  <c r="F14" i="19"/>
  <c r="E14" i="19"/>
  <c r="G49" i="3" s="1"/>
  <c r="D14" i="19"/>
  <c r="F49" i="3" s="1"/>
  <c r="C14" i="19"/>
  <c r="B14" i="19"/>
  <c r="A14" i="19"/>
  <c r="S13" i="19"/>
  <c r="Q48" i="1" s="1"/>
  <c r="R13" i="19"/>
  <c r="Q13" i="19"/>
  <c r="P13" i="19"/>
  <c r="O13" i="19"/>
  <c r="M48" i="1" s="1"/>
  <c r="N13" i="19"/>
  <c r="M13" i="19"/>
  <c r="L13" i="19"/>
  <c r="K13" i="19"/>
  <c r="I48" i="1" s="1"/>
  <c r="J13" i="19"/>
  <c r="I13" i="19"/>
  <c r="H13" i="19"/>
  <c r="G13" i="19"/>
  <c r="E48" i="1" s="1"/>
  <c r="F13" i="19"/>
  <c r="E13" i="19"/>
  <c r="D13" i="19"/>
  <c r="F48" i="3" s="1"/>
  <c r="C13" i="19"/>
  <c r="E48" i="3" s="1"/>
  <c r="B13" i="19"/>
  <c r="A13" i="19"/>
  <c r="S12" i="19"/>
  <c r="R12" i="19"/>
  <c r="P47" i="1" s="1"/>
  <c r="Q12" i="19"/>
  <c r="P12" i="19"/>
  <c r="O12" i="19"/>
  <c r="N12" i="19"/>
  <c r="L47" i="1" s="1"/>
  <c r="M12" i="19"/>
  <c r="L12" i="19"/>
  <c r="K12" i="19"/>
  <c r="J12" i="19"/>
  <c r="H47" i="1" s="1"/>
  <c r="I12" i="19"/>
  <c r="H12" i="19"/>
  <c r="G12" i="19"/>
  <c r="E47" i="1" s="1"/>
  <c r="F12" i="19"/>
  <c r="D47" i="1" s="1"/>
  <c r="E12" i="19"/>
  <c r="D12" i="19"/>
  <c r="C12" i="19"/>
  <c r="E47" i="3" s="1"/>
  <c r="B12" i="19"/>
  <c r="A12" i="19"/>
  <c r="S11" i="19"/>
  <c r="R11" i="19"/>
  <c r="Q11" i="19"/>
  <c r="O46" i="1" s="1"/>
  <c r="P11" i="19"/>
  <c r="O11" i="19"/>
  <c r="N11" i="19"/>
  <c r="M11" i="19"/>
  <c r="K46" i="1" s="1"/>
  <c r="L11" i="19"/>
  <c r="K11" i="19"/>
  <c r="J11" i="19"/>
  <c r="H46" i="1" s="1"/>
  <c r="I11" i="19"/>
  <c r="G46" i="1" s="1"/>
  <c r="H11" i="19"/>
  <c r="G11" i="19"/>
  <c r="F11" i="19"/>
  <c r="E11" i="19"/>
  <c r="G46" i="3" s="1"/>
  <c r="D11" i="19"/>
  <c r="C11" i="19"/>
  <c r="B11" i="19"/>
  <c r="D46" i="3" s="1"/>
  <c r="A11" i="19"/>
  <c r="S10" i="19"/>
  <c r="R10" i="19"/>
  <c r="Q10" i="19"/>
  <c r="P10" i="19"/>
  <c r="N45" i="1" s="1"/>
  <c r="O10" i="19"/>
  <c r="N10" i="19"/>
  <c r="M10" i="19"/>
  <c r="L10" i="19"/>
  <c r="J45" i="1" s="1"/>
  <c r="K10" i="19"/>
  <c r="J10" i="19"/>
  <c r="I10" i="19"/>
  <c r="G45" i="1" s="1"/>
  <c r="H10" i="19"/>
  <c r="F45" i="1" s="1"/>
  <c r="G10" i="19"/>
  <c r="F10" i="19"/>
  <c r="E10" i="19"/>
  <c r="G45" i="3" s="1"/>
  <c r="D10" i="19"/>
  <c r="F45" i="3" s="1"/>
  <c r="C10" i="19"/>
  <c r="B10" i="19"/>
  <c r="A10" i="19"/>
  <c r="S9" i="19"/>
  <c r="Q44" i="1" s="1"/>
  <c r="R9" i="19"/>
  <c r="Q9" i="19"/>
  <c r="P9" i="19"/>
  <c r="O9" i="19"/>
  <c r="M44" i="1" s="1"/>
  <c r="N9" i="19"/>
  <c r="M9" i="19"/>
  <c r="L9" i="19"/>
  <c r="J44" i="1" s="1"/>
  <c r="K9" i="19"/>
  <c r="I44" i="1" s="1"/>
  <c r="J9" i="19"/>
  <c r="I9" i="19"/>
  <c r="H9" i="19"/>
  <c r="G9" i="19"/>
  <c r="E44" i="1" s="1"/>
  <c r="F9" i="19"/>
  <c r="E9" i="19"/>
  <c r="G44" i="3" s="1"/>
  <c r="D9" i="19"/>
  <c r="F44" i="3" s="1"/>
  <c r="C9" i="19"/>
  <c r="E44" i="3" s="1"/>
  <c r="B9" i="19"/>
  <c r="A9" i="19"/>
  <c r="S8" i="19"/>
  <c r="R8" i="19"/>
  <c r="P43" i="1" s="1"/>
  <c r="Q8" i="19"/>
  <c r="P8" i="19"/>
  <c r="O8" i="19"/>
  <c r="M43" i="1" s="1"/>
  <c r="N8" i="19"/>
  <c r="L43" i="1" s="1"/>
  <c r="M8" i="19"/>
  <c r="L8" i="19"/>
  <c r="K8" i="19"/>
  <c r="J8" i="19"/>
  <c r="H43" i="1" s="1"/>
  <c r="I8" i="19"/>
  <c r="H8" i="19"/>
  <c r="G8" i="19"/>
  <c r="F8" i="19"/>
  <c r="D43" i="1" s="1"/>
  <c r="E8" i="19"/>
  <c r="D8" i="19"/>
  <c r="C8" i="19"/>
  <c r="E43" i="3" s="1"/>
  <c r="B8" i="19"/>
  <c r="A8" i="19"/>
  <c r="S7" i="19"/>
  <c r="R7" i="19"/>
  <c r="P42" i="1" s="1"/>
  <c r="Q7" i="19"/>
  <c r="O42" i="1" s="1"/>
  <c r="P7" i="19"/>
  <c r="O7" i="19"/>
  <c r="N7" i="19"/>
  <c r="M7" i="19"/>
  <c r="K42" i="1" s="1"/>
  <c r="L7" i="19"/>
  <c r="K7" i="19"/>
  <c r="J7" i="19"/>
  <c r="I7" i="19"/>
  <c r="G42" i="1" s="1"/>
  <c r="H7" i="19"/>
  <c r="G7" i="19"/>
  <c r="F7" i="19"/>
  <c r="E7" i="19"/>
  <c r="G42" i="3" s="1"/>
  <c r="D7" i="19"/>
  <c r="C7" i="19"/>
  <c r="B7" i="19"/>
  <c r="D42" i="3" s="1"/>
  <c r="A7" i="19"/>
  <c r="S6" i="19"/>
  <c r="R6" i="19"/>
  <c r="Q6" i="19"/>
  <c r="O41" i="1" s="1"/>
  <c r="P6" i="19"/>
  <c r="N41" i="1" s="1"/>
  <c r="O6" i="19"/>
  <c r="N6" i="19"/>
  <c r="M6" i="19"/>
  <c r="L6" i="19"/>
  <c r="J41" i="1" s="1"/>
  <c r="K6" i="19"/>
  <c r="J6" i="19"/>
  <c r="I6" i="19"/>
  <c r="H6" i="19"/>
  <c r="F41" i="1" s="1"/>
  <c r="G6" i="19"/>
  <c r="F6" i="19"/>
  <c r="E6" i="19"/>
  <c r="G41" i="3" s="1"/>
  <c r="D6" i="19"/>
  <c r="F41" i="3" s="1"/>
  <c r="C6" i="19"/>
  <c r="B6" i="19"/>
  <c r="A6" i="19"/>
  <c r="S5" i="19"/>
  <c r="Q40" i="1" s="1"/>
  <c r="R5" i="19"/>
  <c r="Q5" i="19"/>
  <c r="P5" i="19"/>
  <c r="N40" i="1" s="1"/>
  <c r="O5" i="19"/>
  <c r="M40" i="1" s="1"/>
  <c r="N5" i="19"/>
  <c r="M5" i="19"/>
  <c r="L5" i="19"/>
  <c r="J40" i="1" s="1"/>
  <c r="K5" i="19"/>
  <c r="I40" i="1" s="1"/>
  <c r="J5" i="19"/>
  <c r="I5" i="19"/>
  <c r="H5" i="19"/>
  <c r="F40" i="1" s="1"/>
  <c r="G5" i="19"/>
  <c r="E40" i="1" s="1"/>
  <c r="F5" i="19"/>
  <c r="E5" i="19"/>
  <c r="D5" i="19"/>
  <c r="F40" i="3" s="1"/>
  <c r="C5" i="19"/>
  <c r="E40" i="3" s="1"/>
  <c r="B5" i="19"/>
  <c r="A5" i="19"/>
  <c r="S4" i="19"/>
  <c r="R4" i="19"/>
  <c r="P39" i="1" s="1"/>
  <c r="Q4" i="19"/>
  <c r="P4" i="19"/>
  <c r="O4" i="19"/>
  <c r="N4" i="19"/>
  <c r="L39" i="1" s="1"/>
  <c r="M4" i="19"/>
  <c r="L4" i="19"/>
  <c r="K4" i="19"/>
  <c r="J4" i="19"/>
  <c r="H39" i="1" s="1"/>
  <c r="I4" i="19"/>
  <c r="H4" i="19"/>
  <c r="G4" i="19"/>
  <c r="E39" i="1" s="1"/>
  <c r="F4" i="19"/>
  <c r="D39" i="1" s="1"/>
  <c r="E4" i="19"/>
  <c r="D4" i="19"/>
  <c r="F39" i="3" s="1"/>
  <c r="C4" i="19"/>
  <c r="E39" i="3" s="1"/>
  <c r="B4" i="19"/>
  <c r="A4" i="19"/>
  <c r="S3" i="19"/>
  <c r="R3" i="19"/>
  <c r="Q3" i="19"/>
  <c r="O38" i="1" s="1"/>
  <c r="P3" i="19"/>
  <c r="O3" i="19"/>
  <c r="N3" i="19"/>
  <c r="M3" i="19"/>
  <c r="K38" i="1" s="1"/>
  <c r="L3" i="19"/>
  <c r="K3" i="19"/>
  <c r="J3" i="19"/>
  <c r="I3" i="19"/>
  <c r="G38" i="1" s="1"/>
  <c r="H3" i="19"/>
  <c r="G3" i="19"/>
  <c r="F3" i="19"/>
  <c r="E3" i="19"/>
  <c r="G38" i="3" s="1"/>
  <c r="D3" i="19"/>
  <c r="C3" i="19"/>
  <c r="E38" i="3" s="1"/>
  <c r="B3" i="19"/>
  <c r="D38" i="3" s="1"/>
  <c r="A3" i="19"/>
  <c r="S2" i="19"/>
  <c r="R2" i="19"/>
  <c r="Q2" i="19"/>
  <c r="P2" i="19"/>
  <c r="N37" i="1" s="1"/>
  <c r="O2" i="19"/>
  <c r="N2" i="19"/>
  <c r="M2" i="19"/>
  <c r="K37" i="1" s="1"/>
  <c r="L2" i="19"/>
  <c r="J37" i="1" s="1"/>
  <c r="K2" i="19"/>
  <c r="J2" i="19"/>
  <c r="I2" i="19"/>
  <c r="H2" i="19"/>
  <c r="F37" i="1" s="1"/>
  <c r="G2" i="19"/>
  <c r="F2" i="19"/>
  <c r="E2" i="19"/>
  <c r="G37" i="3" s="1"/>
  <c r="D2" i="19"/>
  <c r="F37" i="3" s="1"/>
  <c r="C2" i="19"/>
  <c r="B2" i="19"/>
  <c r="A2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B1" i="19"/>
  <c r="A1" i="19"/>
  <c r="S16" i="18"/>
  <c r="U36" i="2" s="1"/>
  <c r="R16" i="18"/>
  <c r="T36" i="2" s="1"/>
  <c r="Q16" i="18"/>
  <c r="P16" i="18"/>
  <c r="O16" i="18"/>
  <c r="Q36" i="2" s="1"/>
  <c r="N16" i="18"/>
  <c r="P36" i="2" s="1"/>
  <c r="M16" i="18"/>
  <c r="L16" i="18"/>
  <c r="K16" i="18"/>
  <c r="M36" i="2" s="1"/>
  <c r="J16" i="18"/>
  <c r="L36" i="2" s="1"/>
  <c r="I16" i="18"/>
  <c r="H16" i="18"/>
  <c r="G16" i="18"/>
  <c r="F16" i="18"/>
  <c r="H36" i="2" s="1"/>
  <c r="E16" i="18"/>
  <c r="D16" i="18"/>
  <c r="C16" i="18"/>
  <c r="E36" i="2" s="1"/>
  <c r="B16" i="18"/>
  <c r="A16" i="18"/>
  <c r="S15" i="18"/>
  <c r="R15" i="18"/>
  <c r="Q15" i="18"/>
  <c r="S35" i="2" s="1"/>
  <c r="P15" i="18"/>
  <c r="O15" i="18"/>
  <c r="N15" i="18"/>
  <c r="M15" i="18"/>
  <c r="O35" i="2" s="1"/>
  <c r="L15" i="18"/>
  <c r="K15" i="18"/>
  <c r="J15" i="18"/>
  <c r="L35" i="2" s="1"/>
  <c r="I15" i="18"/>
  <c r="K35" i="2" s="1"/>
  <c r="H15" i="18"/>
  <c r="G15" i="18"/>
  <c r="F15" i="18"/>
  <c r="H35" i="2" s="1"/>
  <c r="E15" i="18"/>
  <c r="G35" i="2" s="1"/>
  <c r="D15" i="18"/>
  <c r="C15" i="18"/>
  <c r="B15" i="18"/>
  <c r="A15" i="18"/>
  <c r="S14" i="18"/>
  <c r="R14" i="18"/>
  <c r="Q14" i="18"/>
  <c r="S34" i="2" s="1"/>
  <c r="P14" i="18"/>
  <c r="R34" i="2" s="1"/>
  <c r="O14" i="18"/>
  <c r="N14" i="18"/>
  <c r="M14" i="18"/>
  <c r="O34" i="2" s="1"/>
  <c r="L14" i="18"/>
  <c r="N34" i="2" s="1"/>
  <c r="K14" i="18"/>
  <c r="J14" i="18"/>
  <c r="I14" i="18"/>
  <c r="H14" i="18"/>
  <c r="J34" i="2" s="1"/>
  <c r="G14" i="18"/>
  <c r="F14" i="18"/>
  <c r="E14" i="18"/>
  <c r="D14" i="18"/>
  <c r="F34" i="2" s="1"/>
  <c r="C14" i="18"/>
  <c r="B14" i="18"/>
  <c r="A14" i="18"/>
  <c r="S13" i="18"/>
  <c r="U33" i="2" s="1"/>
  <c r="R13" i="18"/>
  <c r="Q13" i="18"/>
  <c r="P13" i="18"/>
  <c r="O13" i="18"/>
  <c r="Q33" i="2" s="1"/>
  <c r="N13" i="18"/>
  <c r="M13" i="18"/>
  <c r="L13" i="18"/>
  <c r="N33" i="2" s="1"/>
  <c r="K13" i="18"/>
  <c r="M33" i="2" s="1"/>
  <c r="J13" i="18"/>
  <c r="I13" i="18"/>
  <c r="H13" i="18"/>
  <c r="J33" i="2" s="1"/>
  <c r="G13" i="18"/>
  <c r="I33" i="2" s="1"/>
  <c r="F13" i="18"/>
  <c r="E13" i="18"/>
  <c r="D13" i="18"/>
  <c r="F33" i="2" s="1"/>
  <c r="C13" i="18"/>
  <c r="E33" i="2" s="1"/>
  <c r="B13" i="18"/>
  <c r="A13" i="18"/>
  <c r="S12" i="18"/>
  <c r="U32" i="2" s="1"/>
  <c r="R12" i="18"/>
  <c r="T32" i="2" s="1"/>
  <c r="Q12" i="18"/>
  <c r="P12" i="18"/>
  <c r="O12" i="18"/>
  <c r="Q32" i="2" s="1"/>
  <c r="N12" i="18"/>
  <c r="P32" i="2" s="1"/>
  <c r="M12" i="18"/>
  <c r="L12" i="18"/>
  <c r="K12" i="18"/>
  <c r="J12" i="18"/>
  <c r="L32" i="2" s="1"/>
  <c r="I12" i="18"/>
  <c r="H12" i="18"/>
  <c r="G12" i="18"/>
  <c r="I32" i="2" s="1"/>
  <c r="F12" i="18"/>
  <c r="H32" i="2" s="1"/>
  <c r="E12" i="18"/>
  <c r="D12" i="18"/>
  <c r="C12" i="18"/>
  <c r="E32" i="2" s="1"/>
  <c r="B12" i="18"/>
  <c r="A12" i="18"/>
  <c r="S11" i="18"/>
  <c r="R11" i="18"/>
  <c r="T31" i="2" s="1"/>
  <c r="Q11" i="18"/>
  <c r="S31" i="2" s="1"/>
  <c r="P11" i="18"/>
  <c r="O11" i="18"/>
  <c r="N11" i="18"/>
  <c r="P31" i="2" s="1"/>
  <c r="M11" i="18"/>
  <c r="O31" i="2" s="1"/>
  <c r="L11" i="18"/>
  <c r="K11" i="18"/>
  <c r="J11" i="18"/>
  <c r="L31" i="2" s="1"/>
  <c r="I11" i="18"/>
  <c r="K31" i="2" s="1"/>
  <c r="H11" i="18"/>
  <c r="G11" i="18"/>
  <c r="F11" i="18"/>
  <c r="H31" i="2" s="1"/>
  <c r="E11" i="18"/>
  <c r="G31" i="2" s="1"/>
  <c r="D11" i="18"/>
  <c r="C11" i="18"/>
  <c r="B11" i="18"/>
  <c r="A11" i="18"/>
  <c r="S10" i="18"/>
  <c r="R10" i="18"/>
  <c r="Q10" i="18"/>
  <c r="S30" i="2" s="1"/>
  <c r="P10" i="18"/>
  <c r="R30" i="2" s="1"/>
  <c r="O10" i="18"/>
  <c r="N10" i="18"/>
  <c r="M10" i="18"/>
  <c r="L10" i="18"/>
  <c r="N30" i="2" s="1"/>
  <c r="K10" i="18"/>
  <c r="J10" i="18"/>
  <c r="I10" i="18"/>
  <c r="H10" i="18"/>
  <c r="J30" i="2" s="1"/>
  <c r="G10" i="18"/>
  <c r="F10" i="18"/>
  <c r="E10" i="18"/>
  <c r="G30" i="2" s="1"/>
  <c r="D10" i="18"/>
  <c r="F30" i="2" s="1"/>
  <c r="C10" i="18"/>
  <c r="B10" i="18"/>
  <c r="A10" i="18"/>
  <c r="S9" i="18"/>
  <c r="U29" i="2" s="1"/>
  <c r="R9" i="18"/>
  <c r="Q9" i="18"/>
  <c r="P9" i="18"/>
  <c r="R29" i="2" s="1"/>
  <c r="O9" i="18"/>
  <c r="Q29" i="2" s="1"/>
  <c r="N9" i="18"/>
  <c r="M9" i="18"/>
  <c r="L9" i="18"/>
  <c r="N29" i="2" s="1"/>
  <c r="K9" i="18"/>
  <c r="M29" i="2" s="1"/>
  <c r="J9" i="18"/>
  <c r="I9" i="18"/>
  <c r="H9" i="18"/>
  <c r="J29" i="2" s="1"/>
  <c r="G9" i="18"/>
  <c r="I29" i="2" s="1"/>
  <c r="F9" i="18"/>
  <c r="E9" i="18"/>
  <c r="D9" i="18"/>
  <c r="C9" i="18"/>
  <c r="E29" i="2" s="1"/>
  <c r="B9" i="18"/>
  <c r="A9" i="18"/>
  <c r="S8" i="18"/>
  <c r="U28" i="2" s="1"/>
  <c r="R8" i="18"/>
  <c r="T28" i="2" s="1"/>
  <c r="Q8" i="18"/>
  <c r="P8" i="18"/>
  <c r="O8" i="18"/>
  <c r="N8" i="18"/>
  <c r="P28" i="2" s="1"/>
  <c r="M8" i="18"/>
  <c r="L8" i="18"/>
  <c r="K8" i="18"/>
  <c r="M28" i="2" s="1"/>
  <c r="J8" i="18"/>
  <c r="L28" i="2" s="1"/>
  <c r="I8" i="18"/>
  <c r="H8" i="18"/>
  <c r="G8" i="18"/>
  <c r="I28" i="2" s="1"/>
  <c r="F8" i="18"/>
  <c r="H28" i="2" s="1"/>
  <c r="E8" i="18"/>
  <c r="D8" i="18"/>
  <c r="C8" i="18"/>
  <c r="B8" i="18"/>
  <c r="A8" i="18"/>
  <c r="S7" i="18"/>
  <c r="R7" i="18"/>
  <c r="T27" i="2" s="1"/>
  <c r="Q7" i="18"/>
  <c r="S27" i="2" s="1"/>
  <c r="P7" i="18"/>
  <c r="O7" i="18"/>
  <c r="N7" i="18"/>
  <c r="P27" i="2" s="1"/>
  <c r="M7" i="18"/>
  <c r="O27" i="2" s="1"/>
  <c r="L7" i="18"/>
  <c r="K7" i="18"/>
  <c r="J7" i="18"/>
  <c r="L27" i="2" s="1"/>
  <c r="I7" i="18"/>
  <c r="K27" i="2" s="1"/>
  <c r="H7" i="18"/>
  <c r="G7" i="18"/>
  <c r="F7" i="18"/>
  <c r="E7" i="18"/>
  <c r="G27" i="2" s="1"/>
  <c r="D7" i="18"/>
  <c r="C7" i="18"/>
  <c r="B7" i="18"/>
  <c r="A7" i="18"/>
  <c r="S6" i="18"/>
  <c r="R6" i="18"/>
  <c r="Q6" i="18"/>
  <c r="S26" i="2" s="1"/>
  <c r="P6" i="18"/>
  <c r="R26" i="2" s="1"/>
  <c r="O6" i="18"/>
  <c r="N6" i="18"/>
  <c r="M6" i="18"/>
  <c r="L6" i="18"/>
  <c r="N26" i="2" s="1"/>
  <c r="K6" i="18"/>
  <c r="J6" i="18"/>
  <c r="I6" i="18"/>
  <c r="K26" i="2" s="1"/>
  <c r="H6" i="18"/>
  <c r="J26" i="2" s="1"/>
  <c r="G6" i="18"/>
  <c r="F6" i="18"/>
  <c r="E6" i="18"/>
  <c r="G26" i="2" s="1"/>
  <c r="D6" i="18"/>
  <c r="F26" i="2" s="1"/>
  <c r="C6" i="18"/>
  <c r="B6" i="18"/>
  <c r="A6" i="18"/>
  <c r="S5" i="18"/>
  <c r="U25" i="2" s="1"/>
  <c r="R5" i="18"/>
  <c r="Q5" i="18"/>
  <c r="P5" i="18"/>
  <c r="R25" i="2" s="1"/>
  <c r="O5" i="18"/>
  <c r="Q25" i="2" s="1"/>
  <c r="N5" i="18"/>
  <c r="M5" i="18"/>
  <c r="L5" i="18"/>
  <c r="N25" i="2" s="1"/>
  <c r="K5" i="18"/>
  <c r="M25" i="2" s="1"/>
  <c r="J5" i="18"/>
  <c r="I5" i="18"/>
  <c r="H5" i="18"/>
  <c r="J25" i="2" s="1"/>
  <c r="G5" i="18"/>
  <c r="I25" i="2" s="1"/>
  <c r="F5" i="18"/>
  <c r="E5" i="18"/>
  <c r="D5" i="18"/>
  <c r="F25" i="2" s="1"/>
  <c r="C5" i="18"/>
  <c r="E25" i="2" s="1"/>
  <c r="B5" i="18"/>
  <c r="A5" i="18"/>
  <c r="S4" i="18"/>
  <c r="R4" i="18"/>
  <c r="T24" i="2" s="1"/>
  <c r="Q4" i="18"/>
  <c r="P4" i="18"/>
  <c r="O4" i="18"/>
  <c r="Q24" i="2" s="1"/>
  <c r="N4" i="18"/>
  <c r="P24" i="2" s="1"/>
  <c r="M4" i="18"/>
  <c r="L4" i="18"/>
  <c r="K4" i="18"/>
  <c r="M24" i="2" s="1"/>
  <c r="J4" i="18"/>
  <c r="L24" i="2" s="1"/>
  <c r="I4" i="18"/>
  <c r="H4" i="18"/>
  <c r="G4" i="18"/>
  <c r="F4" i="18"/>
  <c r="H24" i="2" s="1"/>
  <c r="E4" i="18"/>
  <c r="D4" i="18"/>
  <c r="C4" i="18"/>
  <c r="E24" i="2" s="1"/>
  <c r="B4" i="18"/>
  <c r="A4" i="18"/>
  <c r="S3" i="18"/>
  <c r="R3" i="18"/>
  <c r="Q3" i="18"/>
  <c r="S23" i="2" s="1"/>
  <c r="P3" i="18"/>
  <c r="O3" i="18"/>
  <c r="N3" i="18"/>
  <c r="M3" i="18"/>
  <c r="O23" i="2" s="1"/>
  <c r="L3" i="18"/>
  <c r="K3" i="18"/>
  <c r="J3" i="18"/>
  <c r="L23" i="2" s="1"/>
  <c r="I3" i="18"/>
  <c r="K23" i="2" s="1"/>
  <c r="H3" i="18"/>
  <c r="G3" i="18"/>
  <c r="F3" i="18"/>
  <c r="H23" i="2" s="1"/>
  <c r="E3" i="18"/>
  <c r="G23" i="2" s="1"/>
  <c r="D3" i="18"/>
  <c r="C3" i="18"/>
  <c r="B3" i="18"/>
  <c r="A3" i="18"/>
  <c r="S2" i="18"/>
  <c r="R2" i="18"/>
  <c r="Q2" i="18"/>
  <c r="S22" i="2" s="1"/>
  <c r="P2" i="18"/>
  <c r="R22" i="2" s="1"/>
  <c r="O2" i="18"/>
  <c r="N2" i="18"/>
  <c r="M2" i="18"/>
  <c r="O22" i="2" s="1"/>
  <c r="L2" i="18"/>
  <c r="N22" i="2" s="1"/>
  <c r="K2" i="18"/>
  <c r="J2" i="18"/>
  <c r="I2" i="18"/>
  <c r="H2" i="18"/>
  <c r="J22" i="2" s="1"/>
  <c r="G2" i="18"/>
  <c r="F2" i="18"/>
  <c r="E2" i="18"/>
  <c r="D2" i="18"/>
  <c r="F22" i="2" s="1"/>
  <c r="C2" i="18"/>
  <c r="B2" i="18"/>
  <c r="A2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1" i="18"/>
  <c r="S16" i="17"/>
  <c r="R16" i="17"/>
  <c r="P36" i="1" s="1"/>
  <c r="Q16" i="17"/>
  <c r="P16" i="17"/>
  <c r="O16" i="17"/>
  <c r="N16" i="17"/>
  <c r="L36" i="1" s="1"/>
  <c r="M16" i="17"/>
  <c r="L16" i="17"/>
  <c r="K16" i="17"/>
  <c r="I36" i="1" s="1"/>
  <c r="J16" i="17"/>
  <c r="H36" i="1" s="1"/>
  <c r="I16" i="17"/>
  <c r="H16" i="17"/>
  <c r="G16" i="17"/>
  <c r="F16" i="17"/>
  <c r="D36" i="1" s="1"/>
  <c r="E16" i="17"/>
  <c r="D16" i="17"/>
  <c r="C16" i="17"/>
  <c r="E36" i="3" s="1"/>
  <c r="B16" i="17"/>
  <c r="D36" i="3" s="1"/>
  <c r="A16" i="17"/>
  <c r="S15" i="17"/>
  <c r="R15" i="17"/>
  <c r="Q15" i="17"/>
  <c r="O35" i="1" s="1"/>
  <c r="P15" i="17"/>
  <c r="O15" i="17"/>
  <c r="N15" i="17"/>
  <c r="L35" i="1" s="1"/>
  <c r="M15" i="17"/>
  <c r="K35" i="1" s="1"/>
  <c r="L15" i="17"/>
  <c r="K15" i="17"/>
  <c r="J15" i="17"/>
  <c r="I15" i="17"/>
  <c r="G35" i="1" s="1"/>
  <c r="H15" i="17"/>
  <c r="G15" i="17"/>
  <c r="F15" i="17"/>
  <c r="E15" i="17"/>
  <c r="G35" i="3" s="1"/>
  <c r="D15" i="17"/>
  <c r="C15" i="17"/>
  <c r="B15" i="17"/>
  <c r="D35" i="3" s="1"/>
  <c r="A15" i="17"/>
  <c r="S14" i="17"/>
  <c r="R14" i="17"/>
  <c r="Q14" i="17"/>
  <c r="P14" i="17"/>
  <c r="N34" i="1" s="1"/>
  <c r="O14" i="17"/>
  <c r="N14" i="17"/>
  <c r="M14" i="17"/>
  <c r="K34" i="1" s="1"/>
  <c r="L14" i="17"/>
  <c r="J34" i="1" s="1"/>
  <c r="K14" i="17"/>
  <c r="J14" i="17"/>
  <c r="I14" i="17"/>
  <c r="H14" i="17"/>
  <c r="F34" i="1" s="1"/>
  <c r="G14" i="17"/>
  <c r="F14" i="17"/>
  <c r="E14" i="17"/>
  <c r="G34" i="3" s="1"/>
  <c r="D14" i="17"/>
  <c r="F34" i="3" s="1"/>
  <c r="C14" i="17"/>
  <c r="B14" i="17"/>
  <c r="D34" i="3" s="1"/>
  <c r="A14" i="17"/>
  <c r="S13" i="17"/>
  <c r="Q33" i="1" s="1"/>
  <c r="R13" i="17"/>
  <c r="Q13" i="17"/>
  <c r="P13" i="17"/>
  <c r="O13" i="17"/>
  <c r="M33" i="1" s="1"/>
  <c r="N13" i="17"/>
  <c r="M13" i="17"/>
  <c r="L13" i="17"/>
  <c r="K13" i="17"/>
  <c r="I33" i="1" s="1"/>
  <c r="J13" i="17"/>
  <c r="I13" i="17"/>
  <c r="H13" i="17"/>
  <c r="G13" i="17"/>
  <c r="E33" i="1" s="1"/>
  <c r="F13" i="17"/>
  <c r="E13" i="17"/>
  <c r="D13" i="17"/>
  <c r="F33" i="3" s="1"/>
  <c r="C13" i="17"/>
  <c r="E33" i="3" s="1"/>
  <c r="B13" i="17"/>
  <c r="A13" i="17"/>
  <c r="S12" i="17"/>
  <c r="Q32" i="1" s="1"/>
  <c r="R12" i="17"/>
  <c r="P32" i="1" s="1"/>
  <c r="Q12" i="17"/>
  <c r="P12" i="17"/>
  <c r="O12" i="17"/>
  <c r="N12" i="17"/>
  <c r="L32" i="1" s="1"/>
  <c r="M12" i="17"/>
  <c r="L12" i="17"/>
  <c r="K12" i="17"/>
  <c r="J12" i="17"/>
  <c r="H32" i="1" s="1"/>
  <c r="I12" i="17"/>
  <c r="H12" i="17"/>
  <c r="G12" i="17"/>
  <c r="F12" i="17"/>
  <c r="D32" i="1" s="1"/>
  <c r="E12" i="17"/>
  <c r="D12" i="17"/>
  <c r="F32" i="3" s="1"/>
  <c r="C12" i="17"/>
  <c r="E32" i="3" s="1"/>
  <c r="B12" i="17"/>
  <c r="D32" i="3" s="1"/>
  <c r="A12" i="17"/>
  <c r="S11" i="17"/>
  <c r="R11" i="17"/>
  <c r="Q11" i="17"/>
  <c r="O31" i="1" s="1"/>
  <c r="P11" i="17"/>
  <c r="O11" i="17"/>
  <c r="N11" i="17"/>
  <c r="M11" i="17"/>
  <c r="K31" i="1" s="1"/>
  <c r="L11" i="17"/>
  <c r="K11" i="17"/>
  <c r="J11" i="17"/>
  <c r="I11" i="17"/>
  <c r="G31" i="1" s="1"/>
  <c r="H11" i="17"/>
  <c r="G11" i="17"/>
  <c r="F11" i="17"/>
  <c r="D31" i="1" s="1"/>
  <c r="E11" i="17"/>
  <c r="G31" i="3" s="1"/>
  <c r="D11" i="17"/>
  <c r="C11" i="17"/>
  <c r="E31" i="3" s="1"/>
  <c r="B11" i="17"/>
  <c r="D31" i="3" s="1"/>
  <c r="A11" i="17"/>
  <c r="S10" i="17"/>
  <c r="R10" i="17"/>
  <c r="Q10" i="17"/>
  <c r="P10" i="17"/>
  <c r="N30" i="1" s="1"/>
  <c r="O10" i="17"/>
  <c r="N10" i="17"/>
  <c r="M10" i="17"/>
  <c r="L10" i="17"/>
  <c r="J30" i="1" s="1"/>
  <c r="K10" i="17"/>
  <c r="J10" i="17"/>
  <c r="I10" i="17"/>
  <c r="H10" i="17"/>
  <c r="F30" i="1" s="1"/>
  <c r="G10" i="17"/>
  <c r="F10" i="17"/>
  <c r="E10" i="17"/>
  <c r="G30" i="3" s="1"/>
  <c r="D10" i="17"/>
  <c r="F30" i="3" s="1"/>
  <c r="C10" i="17"/>
  <c r="B10" i="17"/>
  <c r="D30" i="3" s="1"/>
  <c r="A10" i="17"/>
  <c r="S9" i="17"/>
  <c r="Q29" i="1" s="1"/>
  <c r="R9" i="17"/>
  <c r="Q9" i="17"/>
  <c r="P9" i="17"/>
  <c r="O9" i="17"/>
  <c r="M29" i="1" s="1"/>
  <c r="N9" i="17"/>
  <c r="M9" i="17"/>
  <c r="L9" i="17"/>
  <c r="K9" i="17"/>
  <c r="I29" i="1" s="1"/>
  <c r="J9" i="17"/>
  <c r="I9" i="17"/>
  <c r="H9" i="17"/>
  <c r="G9" i="17"/>
  <c r="E29" i="1" s="1"/>
  <c r="F9" i="17"/>
  <c r="E9" i="17"/>
  <c r="G29" i="3" s="1"/>
  <c r="D9" i="17"/>
  <c r="F29" i="3" s="1"/>
  <c r="C9" i="17"/>
  <c r="E29" i="3" s="1"/>
  <c r="B9" i="17"/>
  <c r="A9" i="17"/>
  <c r="S8" i="17"/>
  <c r="R8" i="17"/>
  <c r="P28" i="1" s="1"/>
  <c r="Q8" i="17"/>
  <c r="P8" i="17"/>
  <c r="O8" i="17"/>
  <c r="N8" i="17"/>
  <c r="L28" i="1" s="1"/>
  <c r="M8" i="17"/>
  <c r="L8" i="17"/>
  <c r="K8" i="17"/>
  <c r="I28" i="1" s="1"/>
  <c r="J8" i="17"/>
  <c r="H28" i="1" s="1"/>
  <c r="I8" i="17"/>
  <c r="H8" i="17"/>
  <c r="G8" i="17"/>
  <c r="F8" i="17"/>
  <c r="D28" i="1" s="1"/>
  <c r="E8" i="17"/>
  <c r="D8" i="17"/>
  <c r="F28" i="3" s="1"/>
  <c r="C8" i="17"/>
  <c r="E28" i="3" s="1"/>
  <c r="B8" i="17"/>
  <c r="D28" i="3" s="1"/>
  <c r="A8" i="17"/>
  <c r="S7" i="17"/>
  <c r="R7" i="17"/>
  <c r="Q7" i="17"/>
  <c r="O27" i="1" s="1"/>
  <c r="P7" i="17"/>
  <c r="O7" i="17"/>
  <c r="N7" i="17"/>
  <c r="L27" i="1" s="1"/>
  <c r="M7" i="17"/>
  <c r="K27" i="1" s="1"/>
  <c r="L7" i="17"/>
  <c r="K7" i="17"/>
  <c r="J7" i="17"/>
  <c r="I7" i="17"/>
  <c r="G27" i="1" s="1"/>
  <c r="H7" i="17"/>
  <c r="G7" i="17"/>
  <c r="F7" i="17"/>
  <c r="E7" i="17"/>
  <c r="G27" i="3" s="1"/>
  <c r="D7" i="17"/>
  <c r="C7" i="17"/>
  <c r="B7" i="17"/>
  <c r="D27" i="3" s="1"/>
  <c r="A7" i="17"/>
  <c r="S6" i="17"/>
  <c r="R6" i="17"/>
  <c r="Q6" i="17"/>
  <c r="P6" i="17"/>
  <c r="N26" i="1" s="1"/>
  <c r="O6" i="17"/>
  <c r="N6" i="17"/>
  <c r="M6" i="17"/>
  <c r="K26" i="1" s="1"/>
  <c r="L6" i="17"/>
  <c r="J26" i="1" s="1"/>
  <c r="K6" i="17"/>
  <c r="J6" i="17"/>
  <c r="I6" i="17"/>
  <c r="H6" i="17"/>
  <c r="F26" i="1" s="1"/>
  <c r="G6" i="17"/>
  <c r="F6" i="17"/>
  <c r="E6" i="17"/>
  <c r="G26" i="3" s="1"/>
  <c r="D6" i="17"/>
  <c r="F26" i="3" s="1"/>
  <c r="C6" i="17"/>
  <c r="B6" i="17"/>
  <c r="A6" i="17"/>
  <c r="S5" i="17"/>
  <c r="Q25" i="1" s="1"/>
  <c r="R5" i="17"/>
  <c r="Q5" i="17"/>
  <c r="P5" i="17"/>
  <c r="O5" i="17"/>
  <c r="M25" i="1" s="1"/>
  <c r="N5" i="17"/>
  <c r="M5" i="17"/>
  <c r="L5" i="17"/>
  <c r="K5" i="17"/>
  <c r="I25" i="1" s="1"/>
  <c r="J5" i="17"/>
  <c r="I5" i="17"/>
  <c r="H5" i="17"/>
  <c r="G5" i="17"/>
  <c r="E25" i="1" s="1"/>
  <c r="F5" i="17"/>
  <c r="E5" i="17"/>
  <c r="D5" i="17"/>
  <c r="F25" i="3" s="1"/>
  <c r="C5" i="17"/>
  <c r="E25" i="3" s="1"/>
  <c r="B5" i="17"/>
  <c r="A5" i="17"/>
  <c r="S4" i="17"/>
  <c r="Q24" i="1" s="1"/>
  <c r="R4" i="17"/>
  <c r="P24" i="1" s="1"/>
  <c r="Q4" i="17"/>
  <c r="P4" i="17"/>
  <c r="O4" i="17"/>
  <c r="N4" i="17"/>
  <c r="L24" i="1" s="1"/>
  <c r="M4" i="17"/>
  <c r="L4" i="17"/>
  <c r="K4" i="17"/>
  <c r="J4" i="17"/>
  <c r="H24" i="1" s="1"/>
  <c r="I4" i="17"/>
  <c r="H4" i="17"/>
  <c r="G4" i="17"/>
  <c r="F4" i="17"/>
  <c r="D24" i="1" s="1"/>
  <c r="E4" i="17"/>
  <c r="D4" i="17"/>
  <c r="C4" i="17"/>
  <c r="E24" i="3" s="1"/>
  <c r="B4" i="17"/>
  <c r="D24" i="3" s="1"/>
  <c r="A4" i="17"/>
  <c r="S3" i="17"/>
  <c r="R3" i="17"/>
  <c r="Q3" i="17"/>
  <c r="O23" i="1" s="1"/>
  <c r="P3" i="17"/>
  <c r="O3" i="17"/>
  <c r="N3" i="17"/>
  <c r="M3" i="17"/>
  <c r="K23" i="1" s="1"/>
  <c r="L3" i="17"/>
  <c r="K3" i="17"/>
  <c r="J3" i="17"/>
  <c r="I3" i="17"/>
  <c r="G23" i="1" s="1"/>
  <c r="H3" i="17"/>
  <c r="G3" i="17"/>
  <c r="F3" i="17"/>
  <c r="D23" i="1" s="1"/>
  <c r="E3" i="17"/>
  <c r="G23" i="3" s="1"/>
  <c r="D3" i="17"/>
  <c r="C3" i="17"/>
  <c r="B3" i="17"/>
  <c r="D23" i="3" s="1"/>
  <c r="A3" i="17"/>
  <c r="S2" i="17"/>
  <c r="R2" i="17"/>
  <c r="Q2" i="17"/>
  <c r="P2" i="17"/>
  <c r="N22" i="1" s="1"/>
  <c r="O2" i="17"/>
  <c r="N2" i="17"/>
  <c r="M2" i="17"/>
  <c r="L2" i="17"/>
  <c r="J22" i="1" s="1"/>
  <c r="K2" i="17"/>
  <c r="J2" i="17"/>
  <c r="I2" i="17"/>
  <c r="H2" i="17"/>
  <c r="F22" i="1" s="1"/>
  <c r="G2" i="17"/>
  <c r="F2" i="17"/>
  <c r="E2" i="17"/>
  <c r="G22" i="3" s="1"/>
  <c r="D2" i="17"/>
  <c r="F22" i="3" s="1"/>
  <c r="C2" i="17"/>
  <c r="B2" i="17"/>
  <c r="A2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1" i="17"/>
  <c r="S9" i="16"/>
  <c r="U21" i="2" s="1"/>
  <c r="R9" i="16"/>
  <c r="T21" i="2" s="1"/>
  <c r="Q9" i="16"/>
  <c r="P9" i="16"/>
  <c r="O9" i="16"/>
  <c r="N9" i="16"/>
  <c r="P21" i="2" s="1"/>
  <c r="M9" i="16"/>
  <c r="L9" i="16"/>
  <c r="K9" i="16"/>
  <c r="J9" i="16"/>
  <c r="L21" i="2" s="1"/>
  <c r="I9" i="16"/>
  <c r="H9" i="16"/>
  <c r="G9" i="16"/>
  <c r="I21" i="2" s="1"/>
  <c r="F9" i="16"/>
  <c r="H21" i="2" s="1"/>
  <c r="E9" i="16"/>
  <c r="D9" i="16"/>
  <c r="C9" i="16"/>
  <c r="E21" i="2" s="1"/>
  <c r="B9" i="16"/>
  <c r="A9" i="16"/>
  <c r="S8" i="16"/>
  <c r="R8" i="16"/>
  <c r="Q8" i="16"/>
  <c r="S20" i="2" s="1"/>
  <c r="P8" i="16"/>
  <c r="O8" i="16"/>
  <c r="N8" i="16"/>
  <c r="P20" i="2" s="1"/>
  <c r="M8" i="16"/>
  <c r="O20" i="2" s="1"/>
  <c r="L8" i="16"/>
  <c r="K8" i="16"/>
  <c r="J8" i="16"/>
  <c r="L20" i="2" s="1"/>
  <c r="I8" i="16"/>
  <c r="K20" i="2" s="1"/>
  <c r="H8" i="16"/>
  <c r="G8" i="16"/>
  <c r="F8" i="16"/>
  <c r="E8" i="16"/>
  <c r="G20" i="2" s="1"/>
  <c r="D8" i="16"/>
  <c r="C8" i="16"/>
  <c r="B8" i="16"/>
  <c r="A8" i="16"/>
  <c r="S7" i="16"/>
  <c r="R7" i="16"/>
  <c r="Q7" i="16"/>
  <c r="S19" i="2" s="1"/>
  <c r="P7" i="16"/>
  <c r="R19" i="2" s="1"/>
  <c r="O7" i="16"/>
  <c r="N7" i="16"/>
  <c r="M7" i="16"/>
  <c r="L7" i="16"/>
  <c r="N19" i="2" s="1"/>
  <c r="K7" i="16"/>
  <c r="J7" i="16"/>
  <c r="I7" i="16"/>
  <c r="H7" i="16"/>
  <c r="J19" i="2" s="1"/>
  <c r="G7" i="16"/>
  <c r="F7" i="16"/>
  <c r="E7" i="16"/>
  <c r="G19" i="2" s="1"/>
  <c r="D7" i="16"/>
  <c r="F19" i="2" s="1"/>
  <c r="C7" i="16"/>
  <c r="B7" i="16"/>
  <c r="A7" i="16"/>
  <c r="S6" i="16"/>
  <c r="U18" i="2" s="1"/>
  <c r="R6" i="16"/>
  <c r="Q6" i="16"/>
  <c r="P6" i="16"/>
  <c r="R18" i="2" s="1"/>
  <c r="O6" i="16"/>
  <c r="Q18" i="2" s="1"/>
  <c r="N6" i="16"/>
  <c r="M6" i="16"/>
  <c r="L6" i="16"/>
  <c r="N18" i="2" s="1"/>
  <c r="K6" i="16"/>
  <c r="M18" i="2" s="1"/>
  <c r="J6" i="16"/>
  <c r="I6" i="16"/>
  <c r="H6" i="16"/>
  <c r="G6" i="16"/>
  <c r="I18" i="2" s="1"/>
  <c r="F6" i="16"/>
  <c r="E6" i="16"/>
  <c r="D6" i="16"/>
  <c r="C6" i="16"/>
  <c r="E18" i="2" s="1"/>
  <c r="B6" i="16"/>
  <c r="A6" i="16"/>
  <c r="S5" i="16"/>
  <c r="R5" i="16"/>
  <c r="T17" i="2" s="1"/>
  <c r="Q5" i="16"/>
  <c r="P5" i="16"/>
  <c r="O5" i="16"/>
  <c r="N5" i="16"/>
  <c r="P17" i="2" s="1"/>
  <c r="M5" i="16"/>
  <c r="L5" i="16"/>
  <c r="K5" i="16"/>
  <c r="M17" i="2" s="1"/>
  <c r="J5" i="16"/>
  <c r="L17" i="2" s="1"/>
  <c r="I5" i="16"/>
  <c r="H5" i="16"/>
  <c r="G5" i="16"/>
  <c r="I17" i="2" s="1"/>
  <c r="F5" i="16"/>
  <c r="H17" i="2" s="1"/>
  <c r="E5" i="16"/>
  <c r="D5" i="16"/>
  <c r="C5" i="16"/>
  <c r="B5" i="16"/>
  <c r="A5" i="16"/>
  <c r="S4" i="16"/>
  <c r="R4" i="16"/>
  <c r="T16" i="2" s="1"/>
  <c r="Q4" i="16"/>
  <c r="S16" i="2" s="1"/>
  <c r="P4" i="16"/>
  <c r="O4" i="16"/>
  <c r="N4" i="16"/>
  <c r="P16" i="2" s="1"/>
  <c r="M4" i="16"/>
  <c r="O16" i="2" s="1"/>
  <c r="L4" i="16"/>
  <c r="K4" i="16"/>
  <c r="J4" i="16"/>
  <c r="I4" i="16"/>
  <c r="K16" i="2" s="1"/>
  <c r="H4" i="16"/>
  <c r="G4" i="16"/>
  <c r="F4" i="16"/>
  <c r="E4" i="16"/>
  <c r="G16" i="2" s="1"/>
  <c r="D4" i="16"/>
  <c r="C4" i="16"/>
  <c r="B4" i="16"/>
  <c r="A4" i="16"/>
  <c r="S3" i="16"/>
  <c r="R3" i="16"/>
  <c r="Q3" i="16"/>
  <c r="P3" i="16"/>
  <c r="R15" i="2" s="1"/>
  <c r="O3" i="16"/>
  <c r="N3" i="16"/>
  <c r="M3" i="16"/>
  <c r="L3" i="16"/>
  <c r="N15" i="2" s="1"/>
  <c r="K3" i="16"/>
  <c r="J3" i="16"/>
  <c r="I3" i="16"/>
  <c r="K15" i="2" s="1"/>
  <c r="H3" i="16"/>
  <c r="J15" i="2" s="1"/>
  <c r="G3" i="16"/>
  <c r="F3" i="16"/>
  <c r="E3" i="16"/>
  <c r="G15" i="2" s="1"/>
  <c r="D3" i="16"/>
  <c r="F15" i="2" s="1"/>
  <c r="C3" i="16"/>
  <c r="B3" i="16"/>
  <c r="A3" i="16"/>
  <c r="S2" i="16"/>
  <c r="U14" i="2" s="1"/>
  <c r="R2" i="16"/>
  <c r="Q2" i="16"/>
  <c r="P2" i="16"/>
  <c r="R14" i="2" s="1"/>
  <c r="O2" i="16"/>
  <c r="Q14" i="2" s="1"/>
  <c r="N2" i="16"/>
  <c r="M2" i="16"/>
  <c r="L2" i="16"/>
  <c r="K2" i="16"/>
  <c r="M14" i="2" s="1"/>
  <c r="J2" i="16"/>
  <c r="I2" i="16"/>
  <c r="H2" i="16"/>
  <c r="G2" i="16"/>
  <c r="I14" i="2" s="1"/>
  <c r="F2" i="16"/>
  <c r="E2" i="16"/>
  <c r="D2" i="16"/>
  <c r="F14" i="2" s="1"/>
  <c r="C2" i="16"/>
  <c r="E14" i="2" s="1"/>
  <c r="B2" i="16"/>
  <c r="A2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1" i="16"/>
  <c r="S9" i="15"/>
  <c r="R9" i="15"/>
  <c r="Q9" i="15"/>
  <c r="O21" i="1" s="1"/>
  <c r="P9" i="15"/>
  <c r="O9" i="15"/>
  <c r="N9" i="15"/>
  <c r="L21" i="1" s="1"/>
  <c r="M9" i="15"/>
  <c r="K21" i="1" s="1"/>
  <c r="L9" i="15"/>
  <c r="K9" i="15"/>
  <c r="J9" i="15"/>
  <c r="I9" i="15"/>
  <c r="G21" i="1" s="1"/>
  <c r="H9" i="15"/>
  <c r="G9" i="15"/>
  <c r="F9" i="15"/>
  <c r="E9" i="15"/>
  <c r="G21" i="3" s="1"/>
  <c r="D9" i="15"/>
  <c r="C9" i="15"/>
  <c r="B9" i="15"/>
  <c r="A9" i="15"/>
  <c r="S8" i="15"/>
  <c r="R8" i="15"/>
  <c r="Q8" i="15"/>
  <c r="P8" i="15"/>
  <c r="N20" i="1" s="1"/>
  <c r="O8" i="15"/>
  <c r="N8" i="15"/>
  <c r="M8" i="15"/>
  <c r="K20" i="1" s="1"/>
  <c r="L8" i="15"/>
  <c r="J20" i="1" s="1"/>
  <c r="K8" i="15"/>
  <c r="J8" i="15"/>
  <c r="I8" i="15"/>
  <c r="H8" i="15"/>
  <c r="F20" i="1" s="1"/>
  <c r="G8" i="15"/>
  <c r="F8" i="15"/>
  <c r="E8" i="15"/>
  <c r="G20" i="3" s="1"/>
  <c r="D8" i="15"/>
  <c r="C8" i="15"/>
  <c r="B8" i="15"/>
  <c r="A8" i="15"/>
  <c r="S7" i="15"/>
  <c r="Q19" i="1" s="1"/>
  <c r="R7" i="15"/>
  <c r="Q7" i="15"/>
  <c r="P7" i="15"/>
  <c r="O7" i="15"/>
  <c r="M19" i="1" s="1"/>
  <c r="N7" i="15"/>
  <c r="M7" i="15"/>
  <c r="L7" i="15"/>
  <c r="K7" i="15"/>
  <c r="I19" i="1" s="1"/>
  <c r="J7" i="15"/>
  <c r="I7" i="15"/>
  <c r="H7" i="15"/>
  <c r="G7" i="15"/>
  <c r="E19" i="1" s="1"/>
  <c r="F7" i="15"/>
  <c r="E7" i="15"/>
  <c r="G19" i="3" s="1"/>
  <c r="D7" i="15"/>
  <c r="F19" i="3" s="1"/>
  <c r="C7" i="15"/>
  <c r="E19" i="3" s="1"/>
  <c r="B7" i="15"/>
  <c r="A7" i="15"/>
  <c r="S6" i="15"/>
  <c r="Q18" i="1" s="1"/>
  <c r="R6" i="15"/>
  <c r="P18" i="1" s="1"/>
  <c r="Q6" i="15"/>
  <c r="P6" i="15"/>
  <c r="O6" i="15"/>
  <c r="N6" i="15"/>
  <c r="L18" i="1" s="1"/>
  <c r="M6" i="15"/>
  <c r="L6" i="15"/>
  <c r="K6" i="15"/>
  <c r="J6" i="15"/>
  <c r="H18" i="1" s="1"/>
  <c r="I6" i="15"/>
  <c r="H6" i="15"/>
  <c r="G6" i="15"/>
  <c r="F6" i="15"/>
  <c r="D18" i="1" s="1"/>
  <c r="E6" i="15"/>
  <c r="D6" i="15"/>
  <c r="C6" i="15"/>
  <c r="E18" i="3" s="1"/>
  <c r="B6" i="15"/>
  <c r="A6" i="15"/>
  <c r="S5" i="15"/>
  <c r="R5" i="15"/>
  <c r="Q5" i="15"/>
  <c r="O17" i="1" s="1"/>
  <c r="P5" i="15"/>
  <c r="O5" i="15"/>
  <c r="N5" i="15"/>
  <c r="M5" i="15"/>
  <c r="K17" i="1" s="1"/>
  <c r="L5" i="15"/>
  <c r="K5" i="15"/>
  <c r="J5" i="15"/>
  <c r="I5" i="15"/>
  <c r="G17" i="1" s="1"/>
  <c r="H5" i="15"/>
  <c r="G5" i="15"/>
  <c r="F5" i="15"/>
  <c r="D17" i="1" s="1"/>
  <c r="E5" i="15"/>
  <c r="G17" i="3" s="1"/>
  <c r="D5" i="15"/>
  <c r="C5" i="15"/>
  <c r="B5" i="15"/>
  <c r="A5" i="15"/>
  <c r="S4" i="15"/>
  <c r="R4" i="15"/>
  <c r="Q4" i="15"/>
  <c r="P4" i="15"/>
  <c r="N16" i="1" s="1"/>
  <c r="O4" i="15"/>
  <c r="N4" i="15"/>
  <c r="M4" i="15"/>
  <c r="L4" i="15"/>
  <c r="J16" i="1" s="1"/>
  <c r="K4" i="15"/>
  <c r="J4" i="15"/>
  <c r="I4" i="15"/>
  <c r="H4" i="15"/>
  <c r="F16" i="1" s="1"/>
  <c r="G4" i="15"/>
  <c r="F4" i="15"/>
  <c r="E4" i="15"/>
  <c r="G16" i="3" s="1"/>
  <c r="D4" i="15"/>
  <c r="F16" i="3" s="1"/>
  <c r="C4" i="15"/>
  <c r="B4" i="15"/>
  <c r="A4" i="15"/>
  <c r="S3" i="15"/>
  <c r="Q15" i="1" s="1"/>
  <c r="R3" i="15"/>
  <c r="Q3" i="15"/>
  <c r="P3" i="15"/>
  <c r="O3" i="15"/>
  <c r="M15" i="1" s="1"/>
  <c r="N3" i="15"/>
  <c r="M3" i="15"/>
  <c r="L3" i="15"/>
  <c r="K3" i="15"/>
  <c r="I15" i="1" s="1"/>
  <c r="J3" i="15"/>
  <c r="I3" i="15"/>
  <c r="H3" i="15"/>
  <c r="G3" i="15"/>
  <c r="E15" i="1" s="1"/>
  <c r="F3" i="15"/>
  <c r="E3" i="15"/>
  <c r="G15" i="3" s="1"/>
  <c r="D3" i="15"/>
  <c r="F15" i="3" s="1"/>
  <c r="C3" i="15"/>
  <c r="E15" i="3" s="1"/>
  <c r="B3" i="15"/>
  <c r="A3" i="15"/>
  <c r="S2" i="15"/>
  <c r="R2" i="15"/>
  <c r="P14" i="1" s="1"/>
  <c r="Q2" i="15"/>
  <c r="P2" i="15"/>
  <c r="O2" i="15"/>
  <c r="N2" i="15"/>
  <c r="L14" i="1" s="1"/>
  <c r="M2" i="15"/>
  <c r="L2" i="15"/>
  <c r="K2" i="15"/>
  <c r="I14" i="1" s="1"/>
  <c r="J2" i="15"/>
  <c r="H14" i="1" s="1"/>
  <c r="I2" i="15"/>
  <c r="H2" i="15"/>
  <c r="G2" i="15"/>
  <c r="F2" i="15"/>
  <c r="D14" i="1" s="1"/>
  <c r="E2" i="15"/>
  <c r="D2" i="15"/>
  <c r="F14" i="3" s="1"/>
  <c r="C2" i="15"/>
  <c r="E14" i="3" s="1"/>
  <c r="B2" i="15"/>
  <c r="A2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E1" i="15"/>
  <c r="D1" i="15"/>
  <c r="C1" i="15"/>
  <c r="B1" i="15"/>
  <c r="A1" i="15"/>
  <c r="O63" i="14"/>
  <c r="N63" i="14"/>
  <c r="D63" i="14"/>
  <c r="C63" i="14"/>
  <c r="B63" i="14"/>
  <c r="A63" i="14"/>
  <c r="O62" i="14"/>
  <c r="N62" i="14"/>
  <c r="D62" i="14"/>
  <c r="C62" i="14"/>
  <c r="B62" i="14"/>
  <c r="A62" i="14"/>
  <c r="J61" i="14"/>
  <c r="I61" i="14"/>
  <c r="D61" i="14"/>
  <c r="C61" i="14"/>
  <c r="B61" i="14"/>
  <c r="A61" i="14"/>
  <c r="J60" i="14"/>
  <c r="I60" i="14"/>
  <c r="D60" i="14"/>
  <c r="C60" i="14"/>
  <c r="B60" i="14"/>
  <c r="A60" i="14"/>
  <c r="F59" i="14"/>
  <c r="E59" i="14"/>
  <c r="D59" i="14"/>
  <c r="C59" i="14"/>
  <c r="B59" i="14"/>
  <c r="A59" i="14"/>
  <c r="F58" i="14"/>
  <c r="E58" i="14"/>
  <c r="D58" i="14"/>
  <c r="C58" i="14"/>
  <c r="B58" i="14"/>
  <c r="A58" i="14"/>
  <c r="M57" i="14"/>
  <c r="L57" i="14"/>
  <c r="K57" i="14"/>
  <c r="D57" i="14"/>
  <c r="C57" i="14"/>
  <c r="B57" i="14"/>
  <c r="A57" i="14"/>
  <c r="M56" i="14"/>
  <c r="L56" i="14"/>
  <c r="K56" i="14"/>
  <c r="D56" i="14"/>
  <c r="C56" i="14"/>
  <c r="B56" i="14"/>
  <c r="A56" i="14"/>
  <c r="M55" i="14"/>
  <c r="L55" i="14"/>
  <c r="K55" i="14"/>
  <c r="D55" i="14"/>
  <c r="C55" i="14"/>
  <c r="B55" i="14"/>
  <c r="A55" i="14"/>
  <c r="O54" i="14"/>
  <c r="N54" i="14"/>
  <c r="D54" i="14"/>
  <c r="C54" i="14"/>
  <c r="B54" i="14"/>
  <c r="A54" i="14"/>
  <c r="J53" i="14"/>
  <c r="I53" i="14"/>
  <c r="D53" i="14"/>
  <c r="C53" i="14"/>
  <c r="B53" i="14"/>
  <c r="A53" i="14"/>
  <c r="J52" i="14"/>
  <c r="I52" i="14"/>
  <c r="D52" i="14"/>
  <c r="C52" i="14"/>
  <c r="B52" i="14"/>
  <c r="A52" i="14"/>
  <c r="J51" i="14"/>
  <c r="I51" i="14"/>
  <c r="D51" i="14"/>
  <c r="C51" i="14"/>
  <c r="B51" i="14"/>
  <c r="A51" i="14"/>
  <c r="H50" i="14"/>
  <c r="G50" i="14"/>
  <c r="D50" i="14"/>
  <c r="C50" i="14"/>
  <c r="B50" i="14"/>
  <c r="A50" i="14"/>
  <c r="H49" i="14"/>
  <c r="G49" i="14"/>
  <c r="D49" i="14"/>
  <c r="C49" i="14"/>
  <c r="B49" i="14"/>
  <c r="A49" i="14"/>
  <c r="H48" i="14"/>
  <c r="G48" i="14"/>
  <c r="D48" i="14"/>
  <c r="C48" i="14"/>
  <c r="B48" i="14"/>
  <c r="A48" i="14"/>
  <c r="O47" i="14"/>
  <c r="N47" i="14"/>
  <c r="D47" i="14"/>
  <c r="C47" i="14"/>
  <c r="B47" i="14"/>
  <c r="A47" i="14"/>
  <c r="O46" i="14"/>
  <c r="N46" i="14"/>
  <c r="D46" i="14"/>
  <c r="C46" i="14"/>
  <c r="B46" i="14"/>
  <c r="A46" i="14"/>
  <c r="O45" i="14"/>
  <c r="N45" i="14"/>
  <c r="D45" i="14"/>
  <c r="C45" i="14"/>
  <c r="B45" i="14"/>
  <c r="A45" i="14"/>
  <c r="O44" i="14"/>
  <c r="N44" i="14"/>
  <c r="D44" i="14"/>
  <c r="C44" i="14"/>
  <c r="B44" i="14"/>
  <c r="A44" i="14"/>
  <c r="F43" i="14"/>
  <c r="E43" i="14"/>
  <c r="D43" i="14"/>
  <c r="C43" i="14"/>
  <c r="B43" i="14"/>
  <c r="A43" i="14"/>
  <c r="M42" i="14"/>
  <c r="L42" i="14"/>
  <c r="K42" i="14"/>
  <c r="D42" i="14"/>
  <c r="C42" i="14"/>
  <c r="B42" i="14"/>
  <c r="A42" i="14"/>
  <c r="M41" i="14"/>
  <c r="L41" i="14"/>
  <c r="K41" i="14"/>
  <c r="D41" i="14"/>
  <c r="C41" i="14"/>
  <c r="B41" i="14"/>
  <c r="A41" i="14"/>
  <c r="M40" i="14"/>
  <c r="L40" i="14"/>
  <c r="K40" i="14"/>
  <c r="D40" i="14"/>
  <c r="C40" i="14"/>
  <c r="B40" i="14"/>
  <c r="A40" i="14"/>
  <c r="M39" i="14"/>
  <c r="L39" i="14"/>
  <c r="K39" i="14"/>
  <c r="D39" i="14"/>
  <c r="C39" i="14"/>
  <c r="B39" i="14"/>
  <c r="A39" i="14"/>
  <c r="M38" i="14"/>
  <c r="L38" i="14"/>
  <c r="K38" i="14"/>
  <c r="D38" i="14"/>
  <c r="C38" i="14"/>
  <c r="B38" i="14"/>
  <c r="A38" i="14"/>
  <c r="M37" i="14"/>
  <c r="L37" i="14"/>
  <c r="K37" i="14"/>
  <c r="D37" i="14"/>
  <c r="C37" i="14"/>
  <c r="B37" i="14"/>
  <c r="A37" i="14"/>
  <c r="H36" i="14"/>
  <c r="G36" i="14"/>
  <c r="D36" i="14"/>
  <c r="C36" i="14"/>
  <c r="B36" i="14"/>
  <c r="A36" i="14"/>
  <c r="H35" i="14"/>
  <c r="G35" i="14"/>
  <c r="D35" i="14"/>
  <c r="C35" i="14"/>
  <c r="B35" i="14"/>
  <c r="A35" i="14"/>
  <c r="H34" i="14"/>
  <c r="G34" i="14"/>
  <c r="D34" i="14"/>
  <c r="C34" i="14"/>
  <c r="B34" i="14"/>
  <c r="A34" i="14"/>
  <c r="H33" i="14"/>
  <c r="G33" i="14"/>
  <c r="D33" i="14"/>
  <c r="C33" i="14"/>
  <c r="B33" i="14"/>
  <c r="A33" i="14"/>
  <c r="H32" i="14"/>
  <c r="G32" i="14"/>
  <c r="D32" i="14"/>
  <c r="C32" i="14"/>
  <c r="B32" i="14"/>
  <c r="A32" i="14"/>
  <c r="H31" i="14"/>
  <c r="G31" i="14"/>
  <c r="D31" i="14"/>
  <c r="C31" i="14"/>
  <c r="B31" i="14"/>
  <c r="A31" i="14"/>
  <c r="H30" i="14"/>
  <c r="G30" i="14"/>
  <c r="D30" i="14"/>
  <c r="C30" i="14"/>
  <c r="B30" i="14"/>
  <c r="A30" i="14"/>
  <c r="F29" i="14"/>
  <c r="E29" i="14"/>
  <c r="D29" i="14"/>
  <c r="C29" i="14"/>
  <c r="B29" i="14"/>
  <c r="A29" i="14"/>
  <c r="F28" i="14"/>
  <c r="E28" i="14"/>
  <c r="D28" i="14"/>
  <c r="C28" i="14"/>
  <c r="B28" i="14"/>
  <c r="A28" i="14"/>
  <c r="F27" i="14"/>
  <c r="E27" i="14"/>
  <c r="D27" i="14"/>
  <c r="C27" i="14"/>
  <c r="B27" i="14"/>
  <c r="A27" i="14"/>
  <c r="F26" i="14"/>
  <c r="E26" i="14"/>
  <c r="D26" i="14"/>
  <c r="C26" i="14"/>
  <c r="B26" i="14"/>
  <c r="A26" i="14"/>
  <c r="F25" i="14"/>
  <c r="E25" i="14"/>
  <c r="D25" i="14"/>
  <c r="C25" i="14"/>
  <c r="B25" i="14"/>
  <c r="A25" i="14"/>
  <c r="F24" i="14"/>
  <c r="E24" i="14"/>
  <c r="D24" i="14"/>
  <c r="C24" i="14"/>
  <c r="B24" i="14"/>
  <c r="A24" i="14"/>
  <c r="O23" i="14"/>
  <c r="N23" i="14"/>
  <c r="D23" i="14"/>
  <c r="C23" i="14"/>
  <c r="B23" i="14"/>
  <c r="A23" i="14"/>
  <c r="O22" i="14"/>
  <c r="N22" i="14"/>
  <c r="D22" i="14"/>
  <c r="C22" i="14"/>
  <c r="B22" i="14"/>
  <c r="A22" i="14"/>
  <c r="M21" i="14"/>
  <c r="L21" i="14"/>
  <c r="K21" i="14"/>
  <c r="D21" i="14"/>
  <c r="C21" i="14"/>
  <c r="B21" i="14"/>
  <c r="A21" i="14"/>
  <c r="M20" i="14"/>
  <c r="L20" i="14"/>
  <c r="K20" i="14"/>
  <c r="D20" i="14"/>
  <c r="C20" i="14"/>
  <c r="B20" i="14"/>
  <c r="A20" i="14"/>
  <c r="J19" i="14"/>
  <c r="I19" i="14"/>
  <c r="D19" i="14"/>
  <c r="C19" i="14"/>
  <c r="B19" i="14"/>
  <c r="A19" i="14"/>
  <c r="J18" i="14"/>
  <c r="I18" i="14"/>
  <c r="D18" i="14"/>
  <c r="C18" i="14"/>
  <c r="B18" i="14"/>
  <c r="A18" i="14"/>
  <c r="H17" i="14"/>
  <c r="G17" i="14"/>
  <c r="D17" i="14"/>
  <c r="C17" i="14"/>
  <c r="B17" i="14"/>
  <c r="A17" i="14"/>
  <c r="H16" i="14"/>
  <c r="G16" i="14"/>
  <c r="D16" i="14"/>
  <c r="C16" i="14"/>
  <c r="B16" i="14"/>
  <c r="A16" i="14"/>
  <c r="F15" i="14"/>
  <c r="E15" i="14"/>
  <c r="D15" i="14"/>
  <c r="C15" i="14"/>
  <c r="B15" i="14"/>
  <c r="A15" i="14"/>
  <c r="F14" i="14"/>
  <c r="E14" i="14"/>
  <c r="D14" i="14"/>
  <c r="C14" i="14"/>
  <c r="B14" i="14"/>
  <c r="A14" i="14"/>
  <c r="O13" i="14"/>
  <c r="N13" i="14"/>
  <c r="D13" i="14"/>
  <c r="C13" i="14"/>
  <c r="B13" i="14"/>
  <c r="A13" i="14"/>
  <c r="M12" i="14"/>
  <c r="L12" i="14"/>
  <c r="K12" i="14"/>
  <c r="D12" i="14"/>
  <c r="C12" i="14"/>
  <c r="B12" i="14"/>
  <c r="A12" i="14"/>
  <c r="J11" i="14"/>
  <c r="I11" i="14"/>
  <c r="D11" i="14"/>
  <c r="C11" i="14"/>
  <c r="B11" i="14"/>
  <c r="A11" i="14"/>
  <c r="H10" i="14"/>
  <c r="G10" i="14"/>
  <c r="D10" i="14"/>
  <c r="C10" i="14"/>
  <c r="B10" i="14"/>
  <c r="A10" i="14"/>
  <c r="F9" i="14"/>
  <c r="E9" i="14"/>
  <c r="D9" i="14"/>
  <c r="C9" i="14"/>
  <c r="B9" i="14"/>
  <c r="A9" i="14"/>
  <c r="J8" i="14"/>
  <c r="I8" i="14"/>
  <c r="D8" i="14"/>
  <c r="C8" i="14"/>
  <c r="B8" i="14"/>
  <c r="A8" i="14"/>
  <c r="J7" i="14"/>
  <c r="I7" i="14"/>
  <c r="D7" i="14"/>
  <c r="C7" i="14"/>
  <c r="B7" i="14"/>
  <c r="A7" i="14"/>
  <c r="J6" i="14"/>
  <c r="I6" i="14"/>
  <c r="D6" i="14"/>
  <c r="C6" i="14"/>
  <c r="B6" i="14"/>
  <c r="A6" i="14"/>
  <c r="J5" i="14"/>
  <c r="I5" i="14"/>
  <c r="D5" i="14"/>
  <c r="C5" i="14"/>
  <c r="B5" i="14"/>
  <c r="A5" i="14"/>
  <c r="J4" i="14"/>
  <c r="I4" i="14"/>
  <c r="D4" i="14"/>
  <c r="C4" i="14"/>
  <c r="B4" i="14"/>
  <c r="A4" i="14"/>
  <c r="J3" i="14"/>
  <c r="I3" i="14"/>
  <c r="D3" i="14"/>
  <c r="C3" i="14"/>
  <c r="K5" i="7" s="1"/>
  <c r="B3" i="14"/>
  <c r="A3" i="14"/>
  <c r="F2" i="14"/>
  <c r="E2" i="14"/>
  <c r="K3" i="7" s="1"/>
  <c r="J2" i="11" s="1"/>
  <c r="D2" i="14"/>
  <c r="C2" i="14"/>
  <c r="B2" i="14"/>
  <c r="A2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E12" i="13"/>
  <c r="D12" i="13"/>
  <c r="C12" i="13"/>
  <c r="B12" i="13"/>
  <c r="E11" i="13"/>
  <c r="D11" i="13"/>
  <c r="C11" i="13"/>
  <c r="B11" i="13"/>
  <c r="E10" i="13"/>
  <c r="D10" i="13"/>
  <c r="C10" i="13"/>
  <c r="B10" i="13"/>
  <c r="E9" i="13"/>
  <c r="D9" i="13"/>
  <c r="C9" i="13"/>
  <c r="B9" i="13"/>
  <c r="E8" i="13"/>
  <c r="D8" i="13"/>
  <c r="C8" i="13"/>
  <c r="B8" i="13"/>
  <c r="E7" i="13"/>
  <c r="D7" i="13"/>
  <c r="C7" i="13"/>
  <c r="B7" i="13"/>
  <c r="E6" i="13"/>
  <c r="D6" i="13"/>
  <c r="C6" i="13"/>
  <c r="B6" i="13"/>
  <c r="E5" i="13"/>
  <c r="D5" i="13"/>
  <c r="C5" i="13"/>
  <c r="B5" i="13"/>
  <c r="E4" i="13"/>
  <c r="D4" i="13"/>
  <c r="C4" i="13"/>
  <c r="B4" i="13"/>
  <c r="E3" i="13"/>
  <c r="D3" i="13"/>
  <c r="C3" i="13"/>
  <c r="B3" i="13"/>
  <c r="E2" i="13"/>
  <c r="D2" i="13"/>
  <c r="C2" i="13"/>
  <c r="B2" i="13"/>
  <c r="E12" i="12"/>
  <c r="D12" i="12"/>
  <c r="C12" i="12"/>
  <c r="B12" i="12"/>
  <c r="E11" i="12"/>
  <c r="D11" i="12"/>
  <c r="C11" i="12"/>
  <c r="B11" i="12"/>
  <c r="E10" i="12"/>
  <c r="D10" i="12"/>
  <c r="C10" i="12"/>
  <c r="B10" i="12"/>
  <c r="E9" i="12"/>
  <c r="D9" i="12"/>
  <c r="C9" i="12"/>
  <c r="B9" i="12"/>
  <c r="E8" i="12"/>
  <c r="D8" i="12"/>
  <c r="C8" i="12"/>
  <c r="B8" i="12"/>
  <c r="E7" i="12"/>
  <c r="D7" i="12"/>
  <c r="C7" i="12"/>
  <c r="B7" i="12"/>
  <c r="E6" i="12"/>
  <c r="D6" i="12"/>
  <c r="C6" i="12"/>
  <c r="B6" i="12"/>
  <c r="E5" i="12"/>
  <c r="D5" i="12"/>
  <c r="C5" i="12"/>
  <c r="B5" i="12"/>
  <c r="E4" i="12"/>
  <c r="D4" i="12"/>
  <c r="C4" i="12"/>
  <c r="B4" i="12"/>
  <c r="E3" i="12"/>
  <c r="D3" i="12"/>
  <c r="C3" i="12"/>
  <c r="B3" i="12"/>
  <c r="E2" i="12"/>
  <c r="D2" i="12"/>
  <c r="C2" i="12"/>
  <c r="B2" i="12"/>
  <c r="E12" i="11"/>
  <c r="D12" i="11"/>
  <c r="C12" i="11"/>
  <c r="B12" i="11"/>
  <c r="E11" i="11"/>
  <c r="D11" i="11"/>
  <c r="C11" i="11"/>
  <c r="B11" i="11"/>
  <c r="E10" i="11"/>
  <c r="D10" i="11"/>
  <c r="C10" i="11"/>
  <c r="B10" i="11"/>
  <c r="E9" i="11"/>
  <c r="D9" i="11"/>
  <c r="C9" i="11"/>
  <c r="B9" i="11"/>
  <c r="E8" i="11"/>
  <c r="D8" i="11"/>
  <c r="C8" i="11"/>
  <c r="B8" i="11"/>
  <c r="E7" i="11"/>
  <c r="D7" i="11"/>
  <c r="C7" i="11"/>
  <c r="B7" i="11"/>
  <c r="E6" i="11"/>
  <c r="D6" i="11"/>
  <c r="C6" i="11"/>
  <c r="B6" i="11"/>
  <c r="E5" i="11"/>
  <c r="D5" i="11"/>
  <c r="C5" i="11"/>
  <c r="B5" i="11"/>
  <c r="L4" i="11"/>
  <c r="I4" i="11"/>
  <c r="E4" i="11"/>
  <c r="D4" i="11"/>
  <c r="C4" i="11"/>
  <c r="B4" i="11"/>
  <c r="L3" i="11"/>
  <c r="E3" i="11"/>
  <c r="D3" i="11"/>
  <c r="C3" i="11"/>
  <c r="B3" i="11"/>
  <c r="E2" i="11"/>
  <c r="D2" i="11"/>
  <c r="C2" i="11"/>
  <c r="B2" i="11"/>
  <c r="G401" i="3"/>
  <c r="F401" i="3"/>
  <c r="E401" i="3"/>
  <c r="F400" i="3"/>
  <c r="E400" i="3"/>
  <c r="D400" i="3"/>
  <c r="G399" i="3"/>
  <c r="E399" i="3"/>
  <c r="D399" i="3"/>
  <c r="G398" i="3"/>
  <c r="F398" i="3"/>
  <c r="D398" i="3"/>
  <c r="G397" i="3"/>
  <c r="F397" i="3"/>
  <c r="E397" i="3"/>
  <c r="F396" i="3"/>
  <c r="E396" i="3"/>
  <c r="D396" i="3"/>
  <c r="G395" i="3"/>
  <c r="E395" i="3"/>
  <c r="D395" i="3"/>
  <c r="G394" i="3"/>
  <c r="F394" i="3"/>
  <c r="D394" i="3"/>
  <c r="G393" i="3"/>
  <c r="F393" i="3"/>
  <c r="E393" i="3"/>
  <c r="F392" i="3"/>
  <c r="E392" i="3"/>
  <c r="D392" i="3"/>
  <c r="G391" i="3"/>
  <c r="E391" i="3"/>
  <c r="D391" i="3"/>
  <c r="G390" i="3"/>
  <c r="F390" i="3"/>
  <c r="D390" i="3"/>
  <c r="G389" i="3"/>
  <c r="F389" i="3"/>
  <c r="E389" i="3"/>
  <c r="F388" i="3"/>
  <c r="E388" i="3"/>
  <c r="D388" i="3"/>
  <c r="G387" i="3"/>
  <c r="E387" i="3"/>
  <c r="D387" i="3"/>
  <c r="G386" i="3"/>
  <c r="F386" i="3"/>
  <c r="D386" i="3"/>
  <c r="G385" i="3"/>
  <c r="F385" i="3"/>
  <c r="E385" i="3"/>
  <c r="F384" i="3"/>
  <c r="E384" i="3"/>
  <c r="D384" i="3"/>
  <c r="G383" i="3"/>
  <c r="E383" i="3"/>
  <c r="D383" i="3"/>
  <c r="G382" i="3"/>
  <c r="F382" i="3"/>
  <c r="D382" i="3"/>
  <c r="G381" i="3"/>
  <c r="F381" i="3"/>
  <c r="E381" i="3"/>
  <c r="F380" i="3"/>
  <c r="E380" i="3"/>
  <c r="D380" i="3"/>
  <c r="G379" i="3"/>
  <c r="E379" i="3"/>
  <c r="D379" i="3"/>
  <c r="G378" i="3"/>
  <c r="F378" i="3"/>
  <c r="D378" i="3"/>
  <c r="G377" i="3"/>
  <c r="F377" i="3"/>
  <c r="E377" i="3"/>
  <c r="G376" i="3"/>
  <c r="F376" i="3"/>
  <c r="D376" i="3"/>
  <c r="G375" i="3"/>
  <c r="F375" i="3"/>
  <c r="F374" i="3"/>
  <c r="D374" i="3"/>
  <c r="G373" i="3"/>
  <c r="D373" i="3"/>
  <c r="G372" i="3"/>
  <c r="F372" i="3"/>
  <c r="D372" i="3"/>
  <c r="G371" i="3"/>
  <c r="F371" i="3"/>
  <c r="F370" i="3"/>
  <c r="D370" i="3"/>
  <c r="G369" i="3"/>
  <c r="D369" i="3"/>
  <c r="G368" i="3"/>
  <c r="F368" i="3"/>
  <c r="D368" i="3"/>
  <c r="G367" i="3"/>
  <c r="F367" i="3"/>
  <c r="F366" i="3"/>
  <c r="D366" i="3"/>
  <c r="G365" i="3"/>
  <c r="D365" i="3"/>
  <c r="G364" i="3"/>
  <c r="F364" i="3"/>
  <c r="D364" i="3"/>
  <c r="G363" i="3"/>
  <c r="F363" i="3"/>
  <c r="F362" i="3"/>
  <c r="D362" i="3"/>
  <c r="G361" i="3"/>
  <c r="D361" i="3"/>
  <c r="G360" i="3"/>
  <c r="F360" i="3"/>
  <c r="D360" i="3"/>
  <c r="G359" i="3"/>
  <c r="F359" i="3"/>
  <c r="G358" i="3"/>
  <c r="F358" i="3"/>
  <c r="G357" i="3"/>
  <c r="F357" i="3"/>
  <c r="F356" i="3"/>
  <c r="D356" i="3"/>
  <c r="G355" i="3"/>
  <c r="D355" i="3"/>
  <c r="G354" i="3"/>
  <c r="F354" i="3"/>
  <c r="D354" i="3"/>
  <c r="G353" i="3"/>
  <c r="F353" i="3"/>
  <c r="F352" i="3"/>
  <c r="D352" i="3"/>
  <c r="G351" i="3"/>
  <c r="D351" i="3"/>
  <c r="G350" i="3"/>
  <c r="F350" i="3"/>
  <c r="D350" i="3"/>
  <c r="G349" i="3"/>
  <c r="F349" i="3"/>
  <c r="F348" i="3"/>
  <c r="D348" i="3"/>
  <c r="G347" i="3"/>
  <c r="D347" i="3"/>
  <c r="G346" i="3"/>
  <c r="F346" i="3"/>
  <c r="D346" i="3"/>
  <c r="G345" i="3"/>
  <c r="F345" i="3"/>
  <c r="F344" i="3"/>
  <c r="D344" i="3"/>
  <c r="G343" i="3"/>
  <c r="D343" i="3"/>
  <c r="G342" i="3"/>
  <c r="F342" i="3"/>
  <c r="D342" i="3"/>
  <c r="G341" i="3"/>
  <c r="F341" i="3"/>
  <c r="F340" i="3"/>
  <c r="D340" i="3"/>
  <c r="G339" i="3"/>
  <c r="D339" i="3"/>
  <c r="G338" i="3"/>
  <c r="F338" i="3"/>
  <c r="D338" i="3"/>
  <c r="G337" i="3"/>
  <c r="F337" i="3"/>
  <c r="F336" i="3"/>
  <c r="D336" i="3"/>
  <c r="G335" i="3"/>
  <c r="D335" i="3"/>
  <c r="G334" i="3"/>
  <c r="F334" i="3"/>
  <c r="D334" i="3"/>
  <c r="G333" i="3"/>
  <c r="D332" i="3"/>
  <c r="G331" i="3"/>
  <c r="D331" i="3"/>
  <c r="G330" i="3"/>
  <c r="D330" i="3"/>
  <c r="G329" i="3"/>
  <c r="D328" i="3"/>
  <c r="G327" i="3"/>
  <c r="D327" i="3"/>
  <c r="G326" i="3"/>
  <c r="D326" i="3"/>
  <c r="G325" i="3"/>
  <c r="D324" i="3"/>
  <c r="G323" i="3"/>
  <c r="D323" i="3"/>
  <c r="G322" i="3"/>
  <c r="D322" i="3"/>
  <c r="G321" i="3"/>
  <c r="F321" i="3"/>
  <c r="E321" i="3"/>
  <c r="G320" i="3"/>
  <c r="F320" i="3"/>
  <c r="D320" i="3"/>
  <c r="C320" i="3"/>
  <c r="G319" i="3"/>
  <c r="F319" i="3"/>
  <c r="E319" i="3"/>
  <c r="C319" i="3"/>
  <c r="F318" i="3"/>
  <c r="E318" i="3"/>
  <c r="D318" i="3"/>
  <c r="G317" i="3"/>
  <c r="E317" i="3"/>
  <c r="D317" i="3"/>
  <c r="C317" i="3"/>
  <c r="G316" i="3"/>
  <c r="F316" i="3"/>
  <c r="D316" i="3"/>
  <c r="C316" i="3"/>
  <c r="G315" i="3"/>
  <c r="F315" i="3"/>
  <c r="E315" i="3"/>
  <c r="C315" i="3"/>
  <c r="F314" i="3"/>
  <c r="E314" i="3"/>
  <c r="D314" i="3"/>
  <c r="G313" i="3"/>
  <c r="E313" i="3"/>
  <c r="D313" i="3"/>
  <c r="C313" i="3"/>
  <c r="G312" i="3"/>
  <c r="F312" i="3"/>
  <c r="D312" i="3"/>
  <c r="C312" i="3"/>
  <c r="G311" i="3"/>
  <c r="F311" i="3"/>
  <c r="E311" i="3"/>
  <c r="C311" i="3"/>
  <c r="F310" i="3"/>
  <c r="E310" i="3"/>
  <c r="D310" i="3"/>
  <c r="G309" i="3"/>
  <c r="E309" i="3"/>
  <c r="D309" i="3"/>
  <c r="C309" i="3"/>
  <c r="G308" i="3"/>
  <c r="F308" i="3"/>
  <c r="D308" i="3"/>
  <c r="C308" i="3"/>
  <c r="G307" i="3"/>
  <c r="F307" i="3"/>
  <c r="E307" i="3"/>
  <c r="C307" i="3"/>
  <c r="F306" i="3"/>
  <c r="E306" i="3"/>
  <c r="D306" i="3"/>
  <c r="G305" i="3"/>
  <c r="E305" i="3"/>
  <c r="D305" i="3"/>
  <c r="C305" i="3"/>
  <c r="G304" i="3"/>
  <c r="F304" i="3"/>
  <c r="D304" i="3"/>
  <c r="C304" i="3"/>
  <c r="G303" i="3"/>
  <c r="F303" i="3"/>
  <c r="E303" i="3"/>
  <c r="C303" i="3"/>
  <c r="F302" i="3"/>
  <c r="E302" i="3"/>
  <c r="D302" i="3"/>
  <c r="G301" i="3"/>
  <c r="E301" i="3"/>
  <c r="D301" i="3"/>
  <c r="C301" i="3"/>
  <c r="G300" i="3"/>
  <c r="F300" i="3"/>
  <c r="D300" i="3"/>
  <c r="C300" i="3"/>
  <c r="G299" i="3"/>
  <c r="F299" i="3"/>
  <c r="E299" i="3"/>
  <c r="C299" i="3"/>
  <c r="F298" i="3"/>
  <c r="E298" i="3"/>
  <c r="D298" i="3"/>
  <c r="G297" i="3"/>
  <c r="E297" i="3"/>
  <c r="D297" i="3"/>
  <c r="C297" i="3"/>
  <c r="G296" i="3"/>
  <c r="F296" i="3"/>
  <c r="D296" i="3"/>
  <c r="C296" i="3"/>
  <c r="G295" i="3"/>
  <c r="F295" i="3"/>
  <c r="E295" i="3"/>
  <c r="C295" i="3"/>
  <c r="F294" i="3"/>
  <c r="E294" i="3"/>
  <c r="D294" i="3"/>
  <c r="G293" i="3"/>
  <c r="E293" i="3"/>
  <c r="D293" i="3"/>
  <c r="C293" i="3"/>
  <c r="G292" i="3"/>
  <c r="F292" i="3"/>
  <c r="D292" i="3"/>
  <c r="C292" i="3"/>
  <c r="G291" i="3"/>
  <c r="F291" i="3"/>
  <c r="E291" i="3"/>
  <c r="C291" i="3"/>
  <c r="F290" i="3"/>
  <c r="E290" i="3"/>
  <c r="D290" i="3"/>
  <c r="G289" i="3"/>
  <c r="E289" i="3"/>
  <c r="D289" i="3"/>
  <c r="C289" i="3"/>
  <c r="G288" i="3"/>
  <c r="F288" i="3"/>
  <c r="D288" i="3"/>
  <c r="C288" i="3"/>
  <c r="G287" i="3"/>
  <c r="F287" i="3"/>
  <c r="E287" i="3"/>
  <c r="C287" i="3"/>
  <c r="F286" i="3"/>
  <c r="E286" i="3"/>
  <c r="D286" i="3"/>
  <c r="G285" i="3"/>
  <c r="E285" i="3"/>
  <c r="D285" i="3"/>
  <c r="C285" i="3"/>
  <c r="G284" i="3"/>
  <c r="F284" i="3"/>
  <c r="D284" i="3"/>
  <c r="C284" i="3"/>
  <c r="G283" i="3"/>
  <c r="F283" i="3"/>
  <c r="E283" i="3"/>
  <c r="C283" i="3"/>
  <c r="F282" i="3"/>
  <c r="E282" i="3"/>
  <c r="D282" i="3"/>
  <c r="G281" i="3"/>
  <c r="E281" i="3"/>
  <c r="D281" i="3"/>
  <c r="C281" i="3"/>
  <c r="G280" i="3"/>
  <c r="F280" i="3"/>
  <c r="D280" i="3"/>
  <c r="C280" i="3"/>
  <c r="G279" i="3"/>
  <c r="F279" i="3"/>
  <c r="E279" i="3"/>
  <c r="C279" i="3"/>
  <c r="F278" i="3"/>
  <c r="E278" i="3"/>
  <c r="D278" i="3"/>
  <c r="G277" i="3"/>
  <c r="E277" i="3"/>
  <c r="D277" i="3"/>
  <c r="C277" i="3"/>
  <c r="G276" i="3"/>
  <c r="F276" i="3"/>
  <c r="D276" i="3"/>
  <c r="C276" i="3"/>
  <c r="G275" i="3"/>
  <c r="F275" i="3"/>
  <c r="E275" i="3"/>
  <c r="C275" i="3"/>
  <c r="F274" i="3"/>
  <c r="E274" i="3"/>
  <c r="D274" i="3"/>
  <c r="G273" i="3"/>
  <c r="E273" i="3"/>
  <c r="D273" i="3"/>
  <c r="C273" i="3"/>
  <c r="G272" i="3"/>
  <c r="F272" i="3"/>
  <c r="D272" i="3"/>
  <c r="C272" i="3"/>
  <c r="G271" i="3"/>
  <c r="F271" i="3"/>
  <c r="E271" i="3"/>
  <c r="C271" i="3"/>
  <c r="F270" i="3"/>
  <c r="E270" i="3"/>
  <c r="D270" i="3"/>
  <c r="G269" i="3"/>
  <c r="E269" i="3"/>
  <c r="D269" i="3"/>
  <c r="C269" i="3"/>
  <c r="G268" i="3"/>
  <c r="F268" i="3"/>
  <c r="D268" i="3"/>
  <c r="C268" i="3"/>
  <c r="G267" i="3"/>
  <c r="F267" i="3"/>
  <c r="E267" i="3"/>
  <c r="C267" i="3"/>
  <c r="F266" i="3"/>
  <c r="E266" i="3"/>
  <c r="D266" i="3"/>
  <c r="G265" i="3"/>
  <c r="E265" i="3"/>
  <c r="D265" i="3"/>
  <c r="C265" i="3"/>
  <c r="G264" i="3"/>
  <c r="F264" i="3"/>
  <c r="D264" i="3"/>
  <c r="C264" i="3"/>
  <c r="G263" i="3"/>
  <c r="F263" i="3"/>
  <c r="E263" i="3"/>
  <c r="C263" i="3"/>
  <c r="F262" i="3"/>
  <c r="E262" i="3"/>
  <c r="D262" i="3"/>
  <c r="G261" i="3"/>
  <c r="E261" i="3"/>
  <c r="D261" i="3"/>
  <c r="C261" i="3"/>
  <c r="G260" i="3"/>
  <c r="F260" i="3"/>
  <c r="D260" i="3"/>
  <c r="C260" i="3"/>
  <c r="G259" i="3"/>
  <c r="F259" i="3"/>
  <c r="E259" i="3"/>
  <c r="C259" i="3"/>
  <c r="F258" i="3"/>
  <c r="E258" i="3"/>
  <c r="D258" i="3"/>
  <c r="G257" i="3"/>
  <c r="E257" i="3"/>
  <c r="D257" i="3"/>
  <c r="C257" i="3"/>
  <c r="G256" i="3"/>
  <c r="F256" i="3"/>
  <c r="D256" i="3"/>
  <c r="C256" i="3"/>
  <c r="G255" i="3"/>
  <c r="F255" i="3"/>
  <c r="E255" i="3"/>
  <c r="C255" i="3"/>
  <c r="F254" i="3"/>
  <c r="E254" i="3"/>
  <c r="D254" i="3"/>
  <c r="G253" i="3"/>
  <c r="E253" i="3"/>
  <c r="D253" i="3"/>
  <c r="C253" i="3"/>
  <c r="G252" i="3"/>
  <c r="F252" i="3"/>
  <c r="D252" i="3"/>
  <c r="C252" i="3"/>
  <c r="G251" i="3"/>
  <c r="F251" i="3"/>
  <c r="E251" i="3"/>
  <c r="C251" i="3"/>
  <c r="F250" i="3"/>
  <c r="E250" i="3"/>
  <c r="D250" i="3"/>
  <c r="G249" i="3"/>
  <c r="E249" i="3"/>
  <c r="D249" i="3"/>
  <c r="C249" i="3"/>
  <c r="G248" i="3"/>
  <c r="F248" i="3"/>
  <c r="D248" i="3"/>
  <c r="C248" i="3"/>
  <c r="G247" i="3"/>
  <c r="F247" i="3"/>
  <c r="E247" i="3"/>
  <c r="C247" i="3"/>
  <c r="F246" i="3"/>
  <c r="E246" i="3"/>
  <c r="D246" i="3"/>
  <c r="G245" i="3"/>
  <c r="E245" i="3"/>
  <c r="D245" i="3"/>
  <c r="C245" i="3"/>
  <c r="G244" i="3"/>
  <c r="F244" i="3"/>
  <c r="D244" i="3"/>
  <c r="C244" i="3"/>
  <c r="G243" i="3"/>
  <c r="F243" i="3"/>
  <c r="E243" i="3"/>
  <c r="C243" i="3"/>
  <c r="F242" i="3"/>
  <c r="E242" i="3"/>
  <c r="D242" i="3"/>
  <c r="G241" i="3"/>
  <c r="E241" i="3"/>
  <c r="D241" i="3"/>
  <c r="C241" i="3"/>
  <c r="G240" i="3"/>
  <c r="F240" i="3"/>
  <c r="D240" i="3"/>
  <c r="C240" i="3"/>
  <c r="G239" i="3"/>
  <c r="F239" i="3"/>
  <c r="E239" i="3"/>
  <c r="C239" i="3"/>
  <c r="F238" i="3"/>
  <c r="E238" i="3"/>
  <c r="D238" i="3"/>
  <c r="G237" i="3"/>
  <c r="E237" i="3"/>
  <c r="D237" i="3"/>
  <c r="C237" i="3"/>
  <c r="G236" i="3"/>
  <c r="F236" i="3"/>
  <c r="D236" i="3"/>
  <c r="C236" i="3"/>
  <c r="G235" i="3"/>
  <c r="F235" i="3"/>
  <c r="E235" i="3"/>
  <c r="C235" i="3"/>
  <c r="G234" i="3"/>
  <c r="F234" i="3"/>
  <c r="E234" i="3"/>
  <c r="F233" i="3"/>
  <c r="E233" i="3"/>
  <c r="D233" i="3"/>
  <c r="G232" i="3"/>
  <c r="E232" i="3"/>
  <c r="D232" i="3"/>
  <c r="G231" i="3"/>
  <c r="F231" i="3"/>
  <c r="D231" i="3"/>
  <c r="G230" i="3"/>
  <c r="F230" i="3"/>
  <c r="E230" i="3"/>
  <c r="F229" i="3"/>
  <c r="E229" i="3"/>
  <c r="D229" i="3"/>
  <c r="G228" i="3"/>
  <c r="E228" i="3"/>
  <c r="D228" i="3"/>
  <c r="G227" i="3"/>
  <c r="F227" i="3"/>
  <c r="D227" i="3"/>
  <c r="G226" i="3"/>
  <c r="F226" i="3"/>
  <c r="E226" i="3"/>
  <c r="F225" i="3"/>
  <c r="E225" i="3"/>
  <c r="D225" i="3"/>
  <c r="G224" i="3"/>
  <c r="E224" i="3"/>
  <c r="D224" i="3"/>
  <c r="G223" i="3"/>
  <c r="F223" i="3"/>
  <c r="D223" i="3"/>
  <c r="G222" i="3"/>
  <c r="F222" i="3"/>
  <c r="E222" i="3"/>
  <c r="F221" i="3"/>
  <c r="E221" i="3"/>
  <c r="D221" i="3"/>
  <c r="G220" i="3"/>
  <c r="E220" i="3"/>
  <c r="D220" i="3"/>
  <c r="G219" i="3"/>
  <c r="F219" i="3"/>
  <c r="D219" i="3"/>
  <c r="G218" i="3"/>
  <c r="F218" i="3"/>
  <c r="E218" i="3"/>
  <c r="F217" i="3"/>
  <c r="E217" i="3"/>
  <c r="D217" i="3"/>
  <c r="G216" i="3"/>
  <c r="E216" i="3"/>
  <c r="D216" i="3"/>
  <c r="G215" i="3"/>
  <c r="F215" i="3"/>
  <c r="D215" i="3"/>
  <c r="G214" i="3"/>
  <c r="F214" i="3"/>
  <c r="E214" i="3"/>
  <c r="F213" i="3"/>
  <c r="E213" i="3"/>
  <c r="D213" i="3"/>
  <c r="G212" i="3"/>
  <c r="E212" i="3"/>
  <c r="D212" i="3"/>
  <c r="G211" i="3"/>
  <c r="F211" i="3"/>
  <c r="D211" i="3"/>
  <c r="G210" i="3"/>
  <c r="F210" i="3"/>
  <c r="E210" i="3"/>
  <c r="F209" i="3"/>
  <c r="E209" i="3"/>
  <c r="D209" i="3"/>
  <c r="G208" i="3"/>
  <c r="E208" i="3"/>
  <c r="D208" i="3"/>
  <c r="G207" i="3"/>
  <c r="F207" i="3"/>
  <c r="D207" i="3"/>
  <c r="G206" i="3"/>
  <c r="F206" i="3"/>
  <c r="E206" i="3"/>
  <c r="F205" i="3"/>
  <c r="G204" i="3"/>
  <c r="G203" i="3"/>
  <c r="F203" i="3"/>
  <c r="G202" i="3"/>
  <c r="F202" i="3"/>
  <c r="F201" i="3"/>
  <c r="G200" i="3"/>
  <c r="G199" i="3"/>
  <c r="F199" i="3"/>
  <c r="G198" i="3"/>
  <c r="F198" i="3"/>
  <c r="F197" i="3"/>
  <c r="G196" i="3"/>
  <c r="G195" i="3"/>
  <c r="F195" i="3"/>
  <c r="G194" i="3"/>
  <c r="F194" i="3"/>
  <c r="F193" i="3"/>
  <c r="G192" i="3"/>
  <c r="G191" i="3"/>
  <c r="F191" i="3"/>
  <c r="G190" i="3"/>
  <c r="F190" i="3"/>
  <c r="F189" i="3"/>
  <c r="G187" i="3"/>
  <c r="G186" i="3"/>
  <c r="F186" i="3"/>
  <c r="F185" i="3"/>
  <c r="G183" i="3"/>
  <c r="G182" i="3"/>
  <c r="F182" i="3"/>
  <c r="F181" i="3"/>
  <c r="G179" i="3"/>
  <c r="G178" i="3"/>
  <c r="F178" i="3"/>
  <c r="F177" i="3"/>
  <c r="G175" i="3"/>
  <c r="G174" i="3"/>
  <c r="F174" i="3"/>
  <c r="F173" i="3"/>
  <c r="D172" i="3"/>
  <c r="G171" i="3"/>
  <c r="D171" i="3"/>
  <c r="G170" i="3"/>
  <c r="F170" i="3"/>
  <c r="F169" i="3"/>
  <c r="D168" i="3"/>
  <c r="G167" i="3"/>
  <c r="D167" i="3"/>
  <c r="G166" i="3"/>
  <c r="F166" i="3"/>
  <c r="F165" i="3"/>
  <c r="G163" i="3"/>
  <c r="G162" i="3"/>
  <c r="F162" i="3"/>
  <c r="F161" i="3"/>
  <c r="G159" i="3"/>
  <c r="G158" i="3"/>
  <c r="F158" i="3"/>
  <c r="F157" i="3"/>
  <c r="G155" i="3"/>
  <c r="G154" i="3"/>
  <c r="F154" i="3"/>
  <c r="F153" i="3"/>
  <c r="G151" i="3"/>
  <c r="D151" i="3"/>
  <c r="G150" i="3"/>
  <c r="F150" i="3"/>
  <c r="F149" i="3"/>
  <c r="D148" i="3"/>
  <c r="G147" i="3"/>
  <c r="D147" i="3"/>
  <c r="G146" i="3"/>
  <c r="F146" i="3"/>
  <c r="F145" i="3"/>
  <c r="G143" i="3"/>
  <c r="G142" i="3"/>
  <c r="F142" i="3"/>
  <c r="F141" i="3"/>
  <c r="G139" i="3"/>
  <c r="D139" i="3"/>
  <c r="G138" i="3"/>
  <c r="F138" i="3"/>
  <c r="D136" i="3"/>
  <c r="G135" i="3"/>
  <c r="G134" i="3"/>
  <c r="G131" i="3"/>
  <c r="G130" i="3"/>
  <c r="F130" i="3"/>
  <c r="F129" i="3"/>
  <c r="G127" i="3"/>
  <c r="G126" i="3"/>
  <c r="F126" i="3"/>
  <c r="F125" i="3"/>
  <c r="G123" i="3"/>
  <c r="G122" i="3"/>
  <c r="F122" i="3"/>
  <c r="F121" i="3"/>
  <c r="G119" i="3"/>
  <c r="G118" i="3"/>
  <c r="F118" i="3"/>
  <c r="F117" i="3"/>
  <c r="G115" i="3"/>
  <c r="D115" i="3"/>
  <c r="G114" i="3"/>
  <c r="F114" i="3"/>
  <c r="F113" i="3"/>
  <c r="G112" i="3"/>
  <c r="G111" i="3"/>
  <c r="G110" i="3"/>
  <c r="F109" i="3"/>
  <c r="G107" i="3"/>
  <c r="G106" i="3"/>
  <c r="F106" i="3"/>
  <c r="F105" i="3"/>
  <c r="G103" i="3"/>
  <c r="G102" i="3"/>
  <c r="F102" i="3"/>
  <c r="F101" i="3"/>
  <c r="G99" i="3"/>
  <c r="G98" i="3"/>
  <c r="F98" i="3"/>
  <c r="F97" i="3"/>
  <c r="G95" i="3"/>
  <c r="D95" i="3"/>
  <c r="G94" i="3"/>
  <c r="F94" i="3"/>
  <c r="F93" i="3"/>
  <c r="E93" i="3"/>
  <c r="E92" i="3"/>
  <c r="D92" i="3"/>
  <c r="D91" i="3"/>
  <c r="G90" i="3"/>
  <c r="F89" i="3"/>
  <c r="E89" i="3"/>
  <c r="E88" i="3"/>
  <c r="D88" i="3"/>
  <c r="G87" i="3"/>
  <c r="D87" i="3"/>
  <c r="G86" i="3"/>
  <c r="F86" i="3"/>
  <c r="F85" i="3"/>
  <c r="E85" i="3"/>
  <c r="E84" i="3"/>
  <c r="D84" i="3"/>
  <c r="D83" i="3"/>
  <c r="G82" i="3"/>
  <c r="F81" i="3"/>
  <c r="E80" i="3"/>
  <c r="G79" i="3"/>
  <c r="D79" i="3"/>
  <c r="G78" i="3"/>
  <c r="F78" i="3"/>
  <c r="G77" i="3"/>
  <c r="F76" i="3"/>
  <c r="E76" i="3"/>
  <c r="E75" i="3"/>
  <c r="G73" i="3"/>
  <c r="F73" i="3"/>
  <c r="F72" i="3"/>
  <c r="E71" i="3"/>
  <c r="G70" i="3"/>
  <c r="G69" i="3"/>
  <c r="F68" i="3"/>
  <c r="E68" i="3"/>
  <c r="E67" i="3"/>
  <c r="G66" i="3"/>
  <c r="G65" i="3"/>
  <c r="F65" i="3"/>
  <c r="F64" i="3"/>
  <c r="E64" i="3"/>
  <c r="E63" i="3"/>
  <c r="G62" i="3"/>
  <c r="D62" i="3"/>
  <c r="G61" i="3"/>
  <c r="F61" i="3"/>
  <c r="F60" i="3"/>
  <c r="E60" i="3"/>
  <c r="E59" i="3"/>
  <c r="G58" i="3"/>
  <c r="G57" i="3"/>
  <c r="F57" i="3"/>
  <c r="F56" i="3"/>
  <c r="E55" i="3"/>
  <c r="G54" i="3"/>
  <c r="G53" i="3"/>
  <c r="F53" i="3"/>
  <c r="D52" i="3"/>
  <c r="G51" i="3"/>
  <c r="F50" i="3"/>
  <c r="E50" i="3"/>
  <c r="E49" i="3"/>
  <c r="D49" i="3"/>
  <c r="G48" i="3"/>
  <c r="D48" i="3"/>
  <c r="G47" i="3"/>
  <c r="F47" i="3"/>
  <c r="F46" i="3"/>
  <c r="E46" i="3"/>
  <c r="E45" i="3"/>
  <c r="D45" i="3"/>
  <c r="D44" i="3"/>
  <c r="T43" i="3"/>
  <c r="S43" i="3"/>
  <c r="R43" i="3"/>
  <c r="P43" i="3"/>
  <c r="O43" i="3"/>
  <c r="N43" i="3"/>
  <c r="L43" i="3"/>
  <c r="K43" i="3"/>
  <c r="J43" i="3"/>
  <c r="H43" i="3"/>
  <c r="G43" i="3"/>
  <c r="F43" i="3"/>
  <c r="U42" i="3"/>
  <c r="S42" i="3"/>
  <c r="R42" i="3"/>
  <c r="Q42" i="3"/>
  <c r="O42" i="3"/>
  <c r="N42" i="3"/>
  <c r="M42" i="3"/>
  <c r="K42" i="3"/>
  <c r="J42" i="3"/>
  <c r="I42" i="3"/>
  <c r="F42" i="3"/>
  <c r="E42" i="3"/>
  <c r="U41" i="3"/>
  <c r="T41" i="3"/>
  <c r="R41" i="3"/>
  <c r="Q41" i="3"/>
  <c r="P41" i="3"/>
  <c r="N41" i="3"/>
  <c r="M41" i="3"/>
  <c r="L41" i="3"/>
  <c r="J41" i="3"/>
  <c r="I41" i="3"/>
  <c r="H41" i="3"/>
  <c r="E41" i="3"/>
  <c r="D41" i="3"/>
  <c r="U40" i="3"/>
  <c r="T40" i="3"/>
  <c r="S40" i="3"/>
  <c r="Q40" i="3"/>
  <c r="P40" i="3"/>
  <c r="O40" i="3"/>
  <c r="M40" i="3"/>
  <c r="L40" i="3"/>
  <c r="K40" i="3"/>
  <c r="I40" i="3"/>
  <c r="H40" i="3"/>
  <c r="G40" i="3"/>
  <c r="D40" i="3"/>
  <c r="T39" i="3"/>
  <c r="S39" i="3"/>
  <c r="R39" i="3"/>
  <c r="P39" i="3"/>
  <c r="O39" i="3"/>
  <c r="N39" i="3"/>
  <c r="L39" i="3"/>
  <c r="K39" i="3"/>
  <c r="J39" i="3"/>
  <c r="H39" i="3"/>
  <c r="G39" i="3"/>
  <c r="U38" i="3"/>
  <c r="S38" i="3"/>
  <c r="R38" i="3"/>
  <c r="Q38" i="3"/>
  <c r="O38" i="3"/>
  <c r="N38" i="3"/>
  <c r="M38" i="3"/>
  <c r="K38" i="3"/>
  <c r="J38" i="3"/>
  <c r="I38" i="3"/>
  <c r="F38" i="3"/>
  <c r="U37" i="3"/>
  <c r="T37" i="3"/>
  <c r="R37" i="3"/>
  <c r="Q37" i="3"/>
  <c r="P37" i="3"/>
  <c r="N37" i="3"/>
  <c r="M37" i="3"/>
  <c r="L37" i="3"/>
  <c r="J37" i="3"/>
  <c r="I37" i="3"/>
  <c r="H37" i="3"/>
  <c r="E37" i="3"/>
  <c r="D37" i="3"/>
  <c r="U36" i="3"/>
  <c r="T36" i="3"/>
  <c r="S36" i="3"/>
  <c r="Q36" i="3"/>
  <c r="P36" i="3"/>
  <c r="O36" i="3"/>
  <c r="M36" i="3"/>
  <c r="L36" i="3"/>
  <c r="K36" i="3"/>
  <c r="I36" i="3"/>
  <c r="H36" i="3"/>
  <c r="G36" i="3"/>
  <c r="F36" i="3"/>
  <c r="T35" i="3"/>
  <c r="S35" i="3"/>
  <c r="R35" i="3"/>
  <c r="P35" i="3"/>
  <c r="O35" i="3"/>
  <c r="N35" i="3"/>
  <c r="L35" i="3"/>
  <c r="K35" i="3"/>
  <c r="J35" i="3"/>
  <c r="H35" i="3"/>
  <c r="F35" i="3"/>
  <c r="E35" i="3"/>
  <c r="U34" i="3"/>
  <c r="S34" i="3"/>
  <c r="R34" i="3"/>
  <c r="Q34" i="3"/>
  <c r="O34" i="3"/>
  <c r="N34" i="3"/>
  <c r="M34" i="3"/>
  <c r="K34" i="3"/>
  <c r="J34" i="3"/>
  <c r="I34" i="3"/>
  <c r="E34" i="3"/>
  <c r="U33" i="3"/>
  <c r="T33" i="3"/>
  <c r="R33" i="3"/>
  <c r="Q33" i="3"/>
  <c r="P33" i="3"/>
  <c r="N33" i="3"/>
  <c r="M33" i="3"/>
  <c r="L33" i="3"/>
  <c r="J33" i="3"/>
  <c r="I33" i="3"/>
  <c r="H33" i="3"/>
  <c r="G33" i="3"/>
  <c r="D33" i="3"/>
  <c r="U32" i="3"/>
  <c r="T32" i="3"/>
  <c r="S32" i="3"/>
  <c r="Q32" i="3"/>
  <c r="P32" i="3"/>
  <c r="O32" i="3"/>
  <c r="M32" i="3"/>
  <c r="L32" i="3"/>
  <c r="K32" i="3"/>
  <c r="I32" i="3"/>
  <c r="H32" i="3"/>
  <c r="G32" i="3"/>
  <c r="T31" i="3"/>
  <c r="S31" i="3"/>
  <c r="R31" i="3"/>
  <c r="P31" i="3"/>
  <c r="O31" i="3"/>
  <c r="N31" i="3"/>
  <c r="L31" i="3"/>
  <c r="K31" i="3"/>
  <c r="J31" i="3"/>
  <c r="H31" i="3"/>
  <c r="F31" i="3"/>
  <c r="U30" i="3"/>
  <c r="S30" i="3"/>
  <c r="R30" i="3"/>
  <c r="Q30" i="3"/>
  <c r="O30" i="3"/>
  <c r="N30" i="3"/>
  <c r="M30" i="3"/>
  <c r="K30" i="3"/>
  <c r="J30" i="3"/>
  <c r="I30" i="3"/>
  <c r="E30" i="3"/>
  <c r="U29" i="3"/>
  <c r="T29" i="3"/>
  <c r="R29" i="3"/>
  <c r="Q29" i="3"/>
  <c r="P29" i="3"/>
  <c r="N29" i="3"/>
  <c r="M29" i="3"/>
  <c r="L29" i="3"/>
  <c r="J29" i="3"/>
  <c r="I29" i="3"/>
  <c r="H29" i="3"/>
  <c r="D29" i="3"/>
  <c r="U28" i="3"/>
  <c r="T28" i="3"/>
  <c r="S28" i="3"/>
  <c r="Q28" i="3"/>
  <c r="P28" i="3"/>
  <c r="O28" i="3"/>
  <c r="M28" i="3"/>
  <c r="L28" i="3"/>
  <c r="K28" i="3"/>
  <c r="I28" i="3"/>
  <c r="H28" i="3"/>
  <c r="G28" i="3"/>
  <c r="T27" i="3"/>
  <c r="S27" i="3"/>
  <c r="R27" i="3"/>
  <c r="P27" i="3"/>
  <c r="O27" i="3"/>
  <c r="N27" i="3"/>
  <c r="L27" i="3"/>
  <c r="K27" i="3"/>
  <c r="J27" i="3"/>
  <c r="H27" i="3"/>
  <c r="F27" i="3"/>
  <c r="E27" i="3"/>
  <c r="U26" i="3"/>
  <c r="S26" i="3"/>
  <c r="R26" i="3"/>
  <c r="Q26" i="3"/>
  <c r="O26" i="3"/>
  <c r="N26" i="3"/>
  <c r="M26" i="3"/>
  <c r="K26" i="3"/>
  <c r="J26" i="3"/>
  <c r="I26" i="3"/>
  <c r="E26" i="3"/>
  <c r="D26" i="3"/>
  <c r="U25" i="3"/>
  <c r="T25" i="3"/>
  <c r="R25" i="3"/>
  <c r="Q25" i="3"/>
  <c r="P25" i="3"/>
  <c r="N25" i="3"/>
  <c r="M25" i="3"/>
  <c r="L25" i="3"/>
  <c r="J25" i="3"/>
  <c r="I25" i="3"/>
  <c r="H25" i="3"/>
  <c r="G25" i="3"/>
  <c r="D25" i="3"/>
  <c r="U24" i="3"/>
  <c r="T24" i="3"/>
  <c r="S24" i="3"/>
  <c r="Q24" i="3"/>
  <c r="P24" i="3"/>
  <c r="O24" i="3"/>
  <c r="M24" i="3"/>
  <c r="L24" i="3"/>
  <c r="K24" i="3"/>
  <c r="I24" i="3"/>
  <c r="H24" i="3"/>
  <c r="G24" i="3"/>
  <c r="F24" i="3"/>
  <c r="T23" i="3"/>
  <c r="S23" i="3"/>
  <c r="R23" i="3"/>
  <c r="P23" i="3"/>
  <c r="O23" i="3"/>
  <c r="N23" i="3"/>
  <c r="L23" i="3"/>
  <c r="K23" i="3"/>
  <c r="J23" i="3"/>
  <c r="H23" i="3"/>
  <c r="F23" i="3"/>
  <c r="E23" i="3"/>
  <c r="U22" i="3"/>
  <c r="S22" i="3"/>
  <c r="R22" i="3"/>
  <c r="Q22" i="3"/>
  <c r="O22" i="3"/>
  <c r="N22" i="3"/>
  <c r="M22" i="3"/>
  <c r="K22" i="3"/>
  <c r="J22" i="3"/>
  <c r="I22" i="3"/>
  <c r="E22" i="3"/>
  <c r="D22" i="3"/>
  <c r="U21" i="3"/>
  <c r="T21" i="3"/>
  <c r="R21" i="3"/>
  <c r="Q21" i="3"/>
  <c r="P21" i="3"/>
  <c r="N21" i="3"/>
  <c r="M21" i="3"/>
  <c r="L21" i="3"/>
  <c r="J21" i="3"/>
  <c r="I21" i="3"/>
  <c r="H21" i="3"/>
  <c r="F21" i="3"/>
  <c r="E21" i="3"/>
  <c r="U20" i="3"/>
  <c r="T20" i="3"/>
  <c r="S20" i="3"/>
  <c r="Q20" i="3"/>
  <c r="P20" i="3"/>
  <c r="O20" i="3"/>
  <c r="M20" i="3"/>
  <c r="L20" i="3"/>
  <c r="K20" i="3"/>
  <c r="I20" i="3"/>
  <c r="H20" i="3"/>
  <c r="E20" i="3"/>
  <c r="T19" i="3"/>
  <c r="S19" i="3"/>
  <c r="R19" i="3"/>
  <c r="P19" i="3"/>
  <c r="O19" i="3"/>
  <c r="N19" i="3"/>
  <c r="L19" i="3"/>
  <c r="K19" i="3"/>
  <c r="J19" i="3"/>
  <c r="H19" i="3"/>
  <c r="U18" i="3"/>
  <c r="S18" i="3"/>
  <c r="R18" i="3"/>
  <c r="Q18" i="3"/>
  <c r="O18" i="3"/>
  <c r="N18" i="3"/>
  <c r="M18" i="3"/>
  <c r="K18" i="3"/>
  <c r="J18" i="3"/>
  <c r="I18" i="3"/>
  <c r="G18" i="3"/>
  <c r="F18" i="3"/>
  <c r="U17" i="3"/>
  <c r="T17" i="3"/>
  <c r="R17" i="3"/>
  <c r="Q17" i="3"/>
  <c r="P17" i="3"/>
  <c r="N17" i="3"/>
  <c r="M17" i="3"/>
  <c r="L17" i="3"/>
  <c r="J17" i="3"/>
  <c r="I17" i="3"/>
  <c r="H17" i="3"/>
  <c r="F17" i="3"/>
  <c r="E17" i="3"/>
  <c r="U16" i="3"/>
  <c r="T16" i="3"/>
  <c r="S16" i="3"/>
  <c r="Q16" i="3"/>
  <c r="P16" i="3"/>
  <c r="O16" i="3"/>
  <c r="M16" i="3"/>
  <c r="L16" i="3"/>
  <c r="K16" i="3"/>
  <c r="I16" i="3"/>
  <c r="H16" i="3"/>
  <c r="E16" i="3"/>
  <c r="T15" i="3"/>
  <c r="S15" i="3"/>
  <c r="R15" i="3"/>
  <c r="P15" i="3"/>
  <c r="O15" i="3"/>
  <c r="N15" i="3"/>
  <c r="L15" i="3"/>
  <c r="K15" i="3"/>
  <c r="J15" i="3"/>
  <c r="H15" i="3"/>
  <c r="U14" i="3"/>
  <c r="S14" i="3"/>
  <c r="R14" i="3"/>
  <c r="Q14" i="3"/>
  <c r="O14" i="3"/>
  <c r="N14" i="3"/>
  <c r="M14" i="3"/>
  <c r="K14" i="3"/>
  <c r="J14" i="3"/>
  <c r="I14" i="3"/>
  <c r="G14" i="3"/>
  <c r="G13" i="3"/>
  <c r="F13" i="3"/>
  <c r="E13" i="3"/>
  <c r="G12" i="3"/>
  <c r="F12" i="3"/>
  <c r="E12" i="3"/>
  <c r="D12" i="3"/>
  <c r="G11" i="3"/>
  <c r="F11" i="3"/>
  <c r="E11" i="3"/>
  <c r="D11" i="3"/>
  <c r="G10" i="3"/>
  <c r="F10" i="3"/>
  <c r="E10" i="3"/>
  <c r="D10" i="3"/>
  <c r="G9" i="3"/>
  <c r="F9" i="3"/>
  <c r="E9" i="3"/>
  <c r="D9" i="3"/>
  <c r="G8" i="3"/>
  <c r="F8" i="3"/>
  <c r="E8" i="3"/>
  <c r="G7" i="3"/>
  <c r="F7" i="3"/>
  <c r="E7" i="3"/>
  <c r="G6" i="3"/>
  <c r="F6" i="3"/>
  <c r="E6" i="3"/>
  <c r="G5" i="3"/>
  <c r="F5" i="3"/>
  <c r="E5" i="3"/>
  <c r="G4" i="3"/>
  <c r="F4" i="3"/>
  <c r="E4" i="3"/>
  <c r="G3" i="3"/>
  <c r="F3" i="3"/>
  <c r="E3" i="3"/>
  <c r="U401" i="2"/>
  <c r="T401" i="2"/>
  <c r="S401" i="2"/>
  <c r="Q401" i="2"/>
  <c r="P401" i="2"/>
  <c r="O401" i="2"/>
  <c r="M401" i="2"/>
  <c r="L401" i="2"/>
  <c r="K401" i="2"/>
  <c r="I401" i="2"/>
  <c r="H401" i="2"/>
  <c r="G401" i="2"/>
  <c r="F401" i="2"/>
  <c r="E401" i="2"/>
  <c r="T400" i="2"/>
  <c r="S400" i="2"/>
  <c r="R400" i="2"/>
  <c r="P400" i="2"/>
  <c r="O400" i="2"/>
  <c r="N400" i="2"/>
  <c r="L400" i="2"/>
  <c r="K400" i="2"/>
  <c r="J400" i="2"/>
  <c r="H400" i="2"/>
  <c r="F400" i="2"/>
  <c r="E400" i="2"/>
  <c r="U399" i="2"/>
  <c r="S399" i="2"/>
  <c r="R399" i="2"/>
  <c r="Q399" i="2"/>
  <c r="O399" i="2"/>
  <c r="N399" i="2"/>
  <c r="M399" i="2"/>
  <c r="K399" i="2"/>
  <c r="J399" i="2"/>
  <c r="I399" i="2"/>
  <c r="G399" i="2"/>
  <c r="E399" i="2"/>
  <c r="U398" i="2"/>
  <c r="T398" i="2"/>
  <c r="R398" i="2"/>
  <c r="Q398" i="2"/>
  <c r="P398" i="2"/>
  <c r="N398" i="2"/>
  <c r="M398" i="2"/>
  <c r="L398" i="2"/>
  <c r="J398" i="2"/>
  <c r="I398" i="2"/>
  <c r="H398" i="2"/>
  <c r="G398" i="2"/>
  <c r="F398" i="2"/>
  <c r="U397" i="2"/>
  <c r="T397" i="2"/>
  <c r="S397" i="2"/>
  <c r="Q397" i="2"/>
  <c r="P397" i="2"/>
  <c r="O397" i="2"/>
  <c r="M397" i="2"/>
  <c r="L397" i="2"/>
  <c r="K397" i="2"/>
  <c r="I397" i="2"/>
  <c r="H397" i="2"/>
  <c r="G397" i="2"/>
  <c r="F397" i="2"/>
  <c r="E397" i="2"/>
  <c r="T396" i="2"/>
  <c r="S396" i="2"/>
  <c r="R396" i="2"/>
  <c r="P396" i="2"/>
  <c r="O396" i="2"/>
  <c r="N396" i="2"/>
  <c r="L396" i="2"/>
  <c r="K396" i="2"/>
  <c r="J396" i="2"/>
  <c r="H396" i="2"/>
  <c r="F396" i="2"/>
  <c r="E396" i="2"/>
  <c r="U395" i="2"/>
  <c r="S395" i="2"/>
  <c r="R395" i="2"/>
  <c r="Q395" i="2"/>
  <c r="O395" i="2"/>
  <c r="N395" i="2"/>
  <c r="M395" i="2"/>
  <c r="K395" i="2"/>
  <c r="J395" i="2"/>
  <c r="I395" i="2"/>
  <c r="G395" i="2"/>
  <c r="E395" i="2"/>
  <c r="U394" i="2"/>
  <c r="T394" i="2"/>
  <c r="R394" i="2"/>
  <c r="Q394" i="2"/>
  <c r="P394" i="2"/>
  <c r="N394" i="2"/>
  <c r="M394" i="2"/>
  <c r="L394" i="2"/>
  <c r="J394" i="2"/>
  <c r="I394" i="2"/>
  <c r="H394" i="2"/>
  <c r="G394" i="2"/>
  <c r="F394" i="2"/>
  <c r="U393" i="2"/>
  <c r="T393" i="2"/>
  <c r="S393" i="2"/>
  <c r="Q393" i="2"/>
  <c r="P393" i="2"/>
  <c r="O393" i="2"/>
  <c r="M393" i="2"/>
  <c r="L393" i="2"/>
  <c r="K393" i="2"/>
  <c r="I393" i="2"/>
  <c r="H393" i="2"/>
  <c r="G393" i="2"/>
  <c r="F393" i="2"/>
  <c r="E393" i="2"/>
  <c r="T392" i="2"/>
  <c r="S392" i="2"/>
  <c r="R392" i="2"/>
  <c r="P392" i="2"/>
  <c r="O392" i="2"/>
  <c r="N392" i="2"/>
  <c r="L392" i="2"/>
  <c r="K392" i="2"/>
  <c r="J392" i="2"/>
  <c r="H392" i="2"/>
  <c r="F392" i="2"/>
  <c r="E392" i="2"/>
  <c r="U391" i="2"/>
  <c r="S391" i="2"/>
  <c r="R391" i="2"/>
  <c r="Q391" i="2"/>
  <c r="O391" i="2"/>
  <c r="N391" i="2"/>
  <c r="M391" i="2"/>
  <c r="K391" i="2"/>
  <c r="J391" i="2"/>
  <c r="I391" i="2"/>
  <c r="G391" i="2"/>
  <c r="E391" i="2"/>
  <c r="U390" i="2"/>
  <c r="T390" i="2"/>
  <c r="R390" i="2"/>
  <c r="Q390" i="2"/>
  <c r="P390" i="2"/>
  <c r="N390" i="2"/>
  <c r="M390" i="2"/>
  <c r="L390" i="2"/>
  <c r="J390" i="2"/>
  <c r="I390" i="2"/>
  <c r="H390" i="2"/>
  <c r="G390" i="2"/>
  <c r="F390" i="2"/>
  <c r="U389" i="2"/>
  <c r="T389" i="2"/>
  <c r="S389" i="2"/>
  <c r="Q389" i="2"/>
  <c r="P389" i="2"/>
  <c r="O389" i="2"/>
  <c r="M389" i="2"/>
  <c r="L389" i="2"/>
  <c r="K389" i="2"/>
  <c r="I389" i="2"/>
  <c r="H389" i="2"/>
  <c r="G389" i="2"/>
  <c r="F389" i="2"/>
  <c r="E389" i="2"/>
  <c r="T388" i="2"/>
  <c r="S388" i="2"/>
  <c r="R388" i="2"/>
  <c r="P388" i="2"/>
  <c r="O388" i="2"/>
  <c r="N388" i="2"/>
  <c r="L388" i="2"/>
  <c r="K388" i="2"/>
  <c r="J388" i="2"/>
  <c r="H388" i="2"/>
  <c r="F388" i="2"/>
  <c r="E388" i="2"/>
  <c r="U387" i="2"/>
  <c r="S387" i="2"/>
  <c r="R387" i="2"/>
  <c r="Q387" i="2"/>
  <c r="O387" i="2"/>
  <c r="N387" i="2"/>
  <c r="M387" i="2"/>
  <c r="K387" i="2"/>
  <c r="J387" i="2"/>
  <c r="I387" i="2"/>
  <c r="G387" i="2"/>
  <c r="E387" i="2"/>
  <c r="U386" i="2"/>
  <c r="T386" i="2"/>
  <c r="R386" i="2"/>
  <c r="Q386" i="2"/>
  <c r="P386" i="2"/>
  <c r="N386" i="2"/>
  <c r="M386" i="2"/>
  <c r="L386" i="2"/>
  <c r="J386" i="2"/>
  <c r="I386" i="2"/>
  <c r="H386" i="2"/>
  <c r="G386" i="2"/>
  <c r="F386" i="2"/>
  <c r="U385" i="2"/>
  <c r="T385" i="2"/>
  <c r="S385" i="2"/>
  <c r="Q385" i="2"/>
  <c r="P385" i="2"/>
  <c r="O385" i="2"/>
  <c r="M385" i="2"/>
  <c r="L385" i="2"/>
  <c r="K385" i="2"/>
  <c r="I385" i="2"/>
  <c r="H385" i="2"/>
  <c r="G385" i="2"/>
  <c r="F385" i="2"/>
  <c r="E385" i="2"/>
  <c r="T384" i="2"/>
  <c r="S384" i="2"/>
  <c r="R384" i="2"/>
  <c r="P384" i="2"/>
  <c r="O384" i="2"/>
  <c r="N384" i="2"/>
  <c r="L384" i="2"/>
  <c r="K384" i="2"/>
  <c r="J384" i="2"/>
  <c r="H384" i="2"/>
  <c r="F384" i="2"/>
  <c r="E384" i="2"/>
  <c r="U383" i="2"/>
  <c r="S383" i="2"/>
  <c r="R383" i="2"/>
  <c r="Q383" i="2"/>
  <c r="O383" i="2"/>
  <c r="N383" i="2"/>
  <c r="M383" i="2"/>
  <c r="K383" i="2"/>
  <c r="J383" i="2"/>
  <c r="I383" i="2"/>
  <c r="G383" i="2"/>
  <c r="E383" i="2"/>
  <c r="U382" i="2"/>
  <c r="T382" i="2"/>
  <c r="R382" i="2"/>
  <c r="Q382" i="2"/>
  <c r="P382" i="2"/>
  <c r="N382" i="2"/>
  <c r="M382" i="2"/>
  <c r="L382" i="2"/>
  <c r="J382" i="2"/>
  <c r="I382" i="2"/>
  <c r="H382" i="2"/>
  <c r="G382" i="2"/>
  <c r="F382" i="2"/>
  <c r="U381" i="2"/>
  <c r="T381" i="2"/>
  <c r="S381" i="2"/>
  <c r="Q381" i="2"/>
  <c r="P381" i="2"/>
  <c r="O381" i="2"/>
  <c r="M381" i="2"/>
  <c r="L381" i="2"/>
  <c r="K381" i="2"/>
  <c r="I381" i="2"/>
  <c r="H381" i="2"/>
  <c r="G381" i="2"/>
  <c r="F381" i="2"/>
  <c r="E381" i="2"/>
  <c r="T380" i="2"/>
  <c r="S380" i="2"/>
  <c r="R380" i="2"/>
  <c r="P380" i="2"/>
  <c r="O380" i="2"/>
  <c r="N380" i="2"/>
  <c r="L380" i="2"/>
  <c r="K380" i="2"/>
  <c r="J380" i="2"/>
  <c r="H380" i="2"/>
  <c r="F380" i="2"/>
  <c r="E380" i="2"/>
  <c r="U379" i="2"/>
  <c r="S379" i="2"/>
  <c r="R379" i="2"/>
  <c r="Q379" i="2"/>
  <c r="O379" i="2"/>
  <c r="N379" i="2"/>
  <c r="M379" i="2"/>
  <c r="K379" i="2"/>
  <c r="J379" i="2"/>
  <c r="I379" i="2"/>
  <c r="G379" i="2"/>
  <c r="E379" i="2"/>
  <c r="U378" i="2"/>
  <c r="T378" i="2"/>
  <c r="R378" i="2"/>
  <c r="Q378" i="2"/>
  <c r="P378" i="2"/>
  <c r="N378" i="2"/>
  <c r="M378" i="2"/>
  <c r="L378" i="2"/>
  <c r="J378" i="2"/>
  <c r="I378" i="2"/>
  <c r="H378" i="2"/>
  <c r="G378" i="2"/>
  <c r="F378" i="2"/>
  <c r="U377" i="2"/>
  <c r="T377" i="2"/>
  <c r="S377" i="2"/>
  <c r="Q377" i="2"/>
  <c r="P377" i="2"/>
  <c r="O377" i="2"/>
  <c r="M377" i="2"/>
  <c r="L377" i="2"/>
  <c r="K377" i="2"/>
  <c r="I377" i="2"/>
  <c r="H377" i="2"/>
  <c r="F377" i="2"/>
  <c r="E377" i="2"/>
  <c r="U376" i="2"/>
  <c r="T376" i="2"/>
  <c r="S376" i="2"/>
  <c r="Q376" i="2"/>
  <c r="P376" i="2"/>
  <c r="O376" i="2"/>
  <c r="M376" i="2"/>
  <c r="L376" i="2"/>
  <c r="K376" i="2"/>
  <c r="I376" i="2"/>
  <c r="H376" i="2"/>
  <c r="U375" i="2"/>
  <c r="S375" i="2"/>
  <c r="R375" i="2"/>
  <c r="Q375" i="2"/>
  <c r="O375" i="2"/>
  <c r="N375" i="2"/>
  <c r="M375" i="2"/>
  <c r="K375" i="2"/>
  <c r="J375" i="2"/>
  <c r="I375" i="2"/>
  <c r="U374" i="2"/>
  <c r="T374" i="2"/>
  <c r="S374" i="2"/>
  <c r="Q374" i="2"/>
  <c r="P374" i="2"/>
  <c r="O374" i="2"/>
  <c r="M374" i="2"/>
  <c r="L374" i="2"/>
  <c r="K374" i="2"/>
  <c r="I374" i="2"/>
  <c r="H374" i="2"/>
  <c r="U373" i="2"/>
  <c r="S373" i="2"/>
  <c r="R373" i="2"/>
  <c r="Q373" i="2"/>
  <c r="O373" i="2"/>
  <c r="N373" i="2"/>
  <c r="M373" i="2"/>
  <c r="K373" i="2"/>
  <c r="J373" i="2"/>
  <c r="I373" i="2"/>
  <c r="U372" i="2"/>
  <c r="T372" i="2"/>
  <c r="S372" i="2"/>
  <c r="Q372" i="2"/>
  <c r="P372" i="2"/>
  <c r="O372" i="2"/>
  <c r="M372" i="2"/>
  <c r="L372" i="2"/>
  <c r="K372" i="2"/>
  <c r="I372" i="2"/>
  <c r="H372" i="2"/>
  <c r="U371" i="2"/>
  <c r="S371" i="2"/>
  <c r="R371" i="2"/>
  <c r="Q371" i="2"/>
  <c r="O371" i="2"/>
  <c r="N371" i="2"/>
  <c r="M371" i="2"/>
  <c r="K371" i="2"/>
  <c r="J371" i="2"/>
  <c r="I371" i="2"/>
  <c r="U370" i="2"/>
  <c r="T370" i="2"/>
  <c r="S370" i="2"/>
  <c r="Q370" i="2"/>
  <c r="P370" i="2"/>
  <c r="O370" i="2"/>
  <c r="M370" i="2"/>
  <c r="L370" i="2"/>
  <c r="K370" i="2"/>
  <c r="I370" i="2"/>
  <c r="H370" i="2"/>
  <c r="U369" i="2"/>
  <c r="S369" i="2"/>
  <c r="R369" i="2"/>
  <c r="Q369" i="2"/>
  <c r="O369" i="2"/>
  <c r="N369" i="2"/>
  <c r="M369" i="2"/>
  <c r="K369" i="2"/>
  <c r="J369" i="2"/>
  <c r="I369" i="2"/>
  <c r="U368" i="2"/>
  <c r="T368" i="2"/>
  <c r="S368" i="2"/>
  <c r="Q368" i="2"/>
  <c r="P368" i="2"/>
  <c r="O368" i="2"/>
  <c r="M368" i="2"/>
  <c r="L368" i="2"/>
  <c r="K368" i="2"/>
  <c r="I368" i="2"/>
  <c r="H368" i="2"/>
  <c r="U367" i="2"/>
  <c r="S367" i="2"/>
  <c r="R367" i="2"/>
  <c r="Q367" i="2"/>
  <c r="O367" i="2"/>
  <c r="N367" i="2"/>
  <c r="M367" i="2"/>
  <c r="K367" i="2"/>
  <c r="J367" i="2"/>
  <c r="I367" i="2"/>
  <c r="U366" i="2"/>
  <c r="T366" i="2"/>
  <c r="S366" i="2"/>
  <c r="Q366" i="2"/>
  <c r="P366" i="2"/>
  <c r="O366" i="2"/>
  <c r="M366" i="2"/>
  <c r="L366" i="2"/>
  <c r="K366" i="2"/>
  <c r="I366" i="2"/>
  <c r="H366" i="2"/>
  <c r="U365" i="2"/>
  <c r="S365" i="2"/>
  <c r="R365" i="2"/>
  <c r="Q365" i="2"/>
  <c r="O365" i="2"/>
  <c r="N365" i="2"/>
  <c r="M365" i="2"/>
  <c r="K365" i="2"/>
  <c r="J365" i="2"/>
  <c r="I365" i="2"/>
  <c r="U364" i="2"/>
  <c r="T364" i="2"/>
  <c r="S364" i="2"/>
  <c r="Q364" i="2"/>
  <c r="P364" i="2"/>
  <c r="O364" i="2"/>
  <c r="M364" i="2"/>
  <c r="L364" i="2"/>
  <c r="K364" i="2"/>
  <c r="I364" i="2"/>
  <c r="H364" i="2"/>
  <c r="U363" i="2"/>
  <c r="S363" i="2"/>
  <c r="R363" i="2"/>
  <c r="Q363" i="2"/>
  <c r="O363" i="2"/>
  <c r="N363" i="2"/>
  <c r="M363" i="2"/>
  <c r="K363" i="2"/>
  <c r="J363" i="2"/>
  <c r="I363" i="2"/>
  <c r="U362" i="2"/>
  <c r="T362" i="2"/>
  <c r="S362" i="2"/>
  <c r="Q362" i="2"/>
  <c r="P362" i="2"/>
  <c r="O362" i="2"/>
  <c r="M362" i="2"/>
  <c r="L362" i="2"/>
  <c r="K362" i="2"/>
  <c r="I362" i="2"/>
  <c r="H362" i="2"/>
  <c r="U361" i="2"/>
  <c r="S361" i="2"/>
  <c r="R361" i="2"/>
  <c r="Q361" i="2"/>
  <c r="O361" i="2"/>
  <c r="N361" i="2"/>
  <c r="M361" i="2"/>
  <c r="K361" i="2"/>
  <c r="J361" i="2"/>
  <c r="I361" i="2"/>
  <c r="U360" i="2"/>
  <c r="T360" i="2"/>
  <c r="S360" i="2"/>
  <c r="Q360" i="2"/>
  <c r="P360" i="2"/>
  <c r="O360" i="2"/>
  <c r="M360" i="2"/>
  <c r="L360" i="2"/>
  <c r="K360" i="2"/>
  <c r="I360" i="2"/>
  <c r="H360" i="2"/>
  <c r="U359" i="2"/>
  <c r="S359" i="2"/>
  <c r="R359" i="2"/>
  <c r="Q359" i="2"/>
  <c r="O359" i="2"/>
  <c r="N359" i="2"/>
  <c r="M359" i="2"/>
  <c r="K359" i="2"/>
  <c r="J359" i="2"/>
  <c r="I359" i="2"/>
  <c r="U358" i="2"/>
  <c r="T358" i="2"/>
  <c r="S358" i="2"/>
  <c r="Q358" i="2"/>
  <c r="P358" i="2"/>
  <c r="O358" i="2"/>
  <c r="M358" i="2"/>
  <c r="L358" i="2"/>
  <c r="K358" i="2"/>
  <c r="I358" i="2"/>
  <c r="H358" i="2"/>
  <c r="G358" i="2"/>
  <c r="F358" i="2"/>
  <c r="U357" i="2"/>
  <c r="S357" i="2"/>
  <c r="R357" i="2"/>
  <c r="Q357" i="2"/>
  <c r="O357" i="2"/>
  <c r="N357" i="2"/>
  <c r="M357" i="2"/>
  <c r="K357" i="2"/>
  <c r="J357" i="2"/>
  <c r="I357" i="2"/>
  <c r="G357" i="2"/>
  <c r="F357" i="2"/>
  <c r="U356" i="2"/>
  <c r="T356" i="2"/>
  <c r="S356" i="2"/>
  <c r="Q356" i="2"/>
  <c r="P356" i="2"/>
  <c r="O356" i="2"/>
  <c r="M356" i="2"/>
  <c r="L356" i="2"/>
  <c r="K356" i="2"/>
  <c r="I356" i="2"/>
  <c r="H356" i="2"/>
  <c r="F356" i="2"/>
  <c r="U355" i="2"/>
  <c r="S355" i="2"/>
  <c r="R355" i="2"/>
  <c r="Q355" i="2"/>
  <c r="O355" i="2"/>
  <c r="N355" i="2"/>
  <c r="M355" i="2"/>
  <c r="K355" i="2"/>
  <c r="J355" i="2"/>
  <c r="I355" i="2"/>
  <c r="G355" i="2"/>
  <c r="U354" i="2"/>
  <c r="T354" i="2"/>
  <c r="S354" i="2"/>
  <c r="Q354" i="2"/>
  <c r="P354" i="2"/>
  <c r="O354" i="2"/>
  <c r="M354" i="2"/>
  <c r="L354" i="2"/>
  <c r="K354" i="2"/>
  <c r="I354" i="2"/>
  <c r="H354" i="2"/>
  <c r="G354" i="2"/>
  <c r="F354" i="2"/>
  <c r="U353" i="2"/>
  <c r="S353" i="2"/>
  <c r="R353" i="2"/>
  <c r="Q353" i="2"/>
  <c r="O353" i="2"/>
  <c r="N353" i="2"/>
  <c r="M353" i="2"/>
  <c r="K353" i="2"/>
  <c r="J353" i="2"/>
  <c r="I353" i="2"/>
  <c r="G353" i="2"/>
  <c r="F353" i="2"/>
  <c r="U352" i="2"/>
  <c r="T352" i="2"/>
  <c r="S352" i="2"/>
  <c r="Q352" i="2"/>
  <c r="P352" i="2"/>
  <c r="O352" i="2"/>
  <c r="M352" i="2"/>
  <c r="L352" i="2"/>
  <c r="K352" i="2"/>
  <c r="I352" i="2"/>
  <c r="H352" i="2"/>
  <c r="F352" i="2"/>
  <c r="U351" i="2"/>
  <c r="S351" i="2"/>
  <c r="R351" i="2"/>
  <c r="Q351" i="2"/>
  <c r="O351" i="2"/>
  <c r="N351" i="2"/>
  <c r="M351" i="2"/>
  <c r="K351" i="2"/>
  <c r="J351" i="2"/>
  <c r="I351" i="2"/>
  <c r="G351" i="2"/>
  <c r="U350" i="2"/>
  <c r="T350" i="2"/>
  <c r="S350" i="2"/>
  <c r="Q350" i="2"/>
  <c r="P350" i="2"/>
  <c r="O350" i="2"/>
  <c r="M350" i="2"/>
  <c r="L350" i="2"/>
  <c r="K350" i="2"/>
  <c r="I350" i="2"/>
  <c r="H350" i="2"/>
  <c r="G350" i="2"/>
  <c r="F350" i="2"/>
  <c r="U349" i="2"/>
  <c r="S349" i="2"/>
  <c r="R349" i="2"/>
  <c r="Q349" i="2"/>
  <c r="O349" i="2"/>
  <c r="N349" i="2"/>
  <c r="M349" i="2"/>
  <c r="K349" i="2"/>
  <c r="J349" i="2"/>
  <c r="I349" i="2"/>
  <c r="G349" i="2"/>
  <c r="F349" i="2"/>
  <c r="U348" i="2"/>
  <c r="T348" i="2"/>
  <c r="S348" i="2"/>
  <c r="Q348" i="2"/>
  <c r="P348" i="2"/>
  <c r="O348" i="2"/>
  <c r="M348" i="2"/>
  <c r="L348" i="2"/>
  <c r="K348" i="2"/>
  <c r="I348" i="2"/>
  <c r="H348" i="2"/>
  <c r="F348" i="2"/>
  <c r="U347" i="2"/>
  <c r="S347" i="2"/>
  <c r="R347" i="2"/>
  <c r="Q347" i="2"/>
  <c r="O347" i="2"/>
  <c r="N347" i="2"/>
  <c r="M347" i="2"/>
  <c r="K347" i="2"/>
  <c r="J347" i="2"/>
  <c r="I347" i="2"/>
  <c r="G347" i="2"/>
  <c r="U346" i="2"/>
  <c r="T346" i="2"/>
  <c r="S346" i="2"/>
  <c r="Q346" i="2"/>
  <c r="P346" i="2"/>
  <c r="O346" i="2"/>
  <c r="M346" i="2"/>
  <c r="L346" i="2"/>
  <c r="K346" i="2"/>
  <c r="I346" i="2"/>
  <c r="H346" i="2"/>
  <c r="G346" i="2"/>
  <c r="F346" i="2"/>
  <c r="U345" i="2"/>
  <c r="S345" i="2"/>
  <c r="R345" i="2"/>
  <c r="Q345" i="2"/>
  <c r="O345" i="2"/>
  <c r="N345" i="2"/>
  <c r="M345" i="2"/>
  <c r="K345" i="2"/>
  <c r="J345" i="2"/>
  <c r="I345" i="2"/>
  <c r="G345" i="2"/>
  <c r="F345" i="2"/>
  <c r="U344" i="2"/>
  <c r="T344" i="2"/>
  <c r="S344" i="2"/>
  <c r="Q344" i="2"/>
  <c r="P344" i="2"/>
  <c r="O344" i="2"/>
  <c r="M344" i="2"/>
  <c r="L344" i="2"/>
  <c r="K344" i="2"/>
  <c r="I344" i="2"/>
  <c r="H344" i="2"/>
  <c r="F344" i="2"/>
  <c r="U343" i="2"/>
  <c r="S343" i="2"/>
  <c r="R343" i="2"/>
  <c r="Q343" i="2"/>
  <c r="O343" i="2"/>
  <c r="N343" i="2"/>
  <c r="M343" i="2"/>
  <c r="K343" i="2"/>
  <c r="J343" i="2"/>
  <c r="I343" i="2"/>
  <c r="G343" i="2"/>
  <c r="U342" i="2"/>
  <c r="T342" i="2"/>
  <c r="S342" i="2"/>
  <c r="Q342" i="2"/>
  <c r="P342" i="2"/>
  <c r="O342" i="2"/>
  <c r="M342" i="2"/>
  <c r="L342" i="2"/>
  <c r="K342" i="2"/>
  <c r="I342" i="2"/>
  <c r="H342" i="2"/>
  <c r="G342" i="2"/>
  <c r="F342" i="2"/>
  <c r="U341" i="2"/>
  <c r="S341" i="2"/>
  <c r="R341" i="2"/>
  <c r="Q341" i="2"/>
  <c r="O341" i="2"/>
  <c r="N341" i="2"/>
  <c r="M341" i="2"/>
  <c r="K341" i="2"/>
  <c r="J341" i="2"/>
  <c r="I341" i="2"/>
  <c r="G341" i="2"/>
  <c r="F341" i="2"/>
  <c r="U340" i="2"/>
  <c r="T340" i="2"/>
  <c r="S340" i="2"/>
  <c r="Q340" i="2"/>
  <c r="P340" i="2"/>
  <c r="O340" i="2"/>
  <c r="M340" i="2"/>
  <c r="L340" i="2"/>
  <c r="K340" i="2"/>
  <c r="I340" i="2"/>
  <c r="H340" i="2"/>
  <c r="F340" i="2"/>
  <c r="U339" i="2"/>
  <c r="S339" i="2"/>
  <c r="R339" i="2"/>
  <c r="Q339" i="2"/>
  <c r="O339" i="2"/>
  <c r="N339" i="2"/>
  <c r="M339" i="2"/>
  <c r="K339" i="2"/>
  <c r="J339" i="2"/>
  <c r="I339" i="2"/>
  <c r="G339" i="2"/>
  <c r="U338" i="2"/>
  <c r="T338" i="2"/>
  <c r="S338" i="2"/>
  <c r="Q338" i="2"/>
  <c r="P338" i="2"/>
  <c r="O338" i="2"/>
  <c r="M338" i="2"/>
  <c r="L338" i="2"/>
  <c r="K338" i="2"/>
  <c r="I338" i="2"/>
  <c r="H338" i="2"/>
  <c r="G338" i="2"/>
  <c r="F338" i="2"/>
  <c r="U337" i="2"/>
  <c r="S337" i="2"/>
  <c r="R337" i="2"/>
  <c r="Q337" i="2"/>
  <c r="O337" i="2"/>
  <c r="N337" i="2"/>
  <c r="M337" i="2"/>
  <c r="K337" i="2"/>
  <c r="J337" i="2"/>
  <c r="I337" i="2"/>
  <c r="G337" i="2"/>
  <c r="F337" i="2"/>
  <c r="U336" i="2"/>
  <c r="T336" i="2"/>
  <c r="S336" i="2"/>
  <c r="Q336" i="2"/>
  <c r="P336" i="2"/>
  <c r="O336" i="2"/>
  <c r="M336" i="2"/>
  <c r="L336" i="2"/>
  <c r="K336" i="2"/>
  <c r="I336" i="2"/>
  <c r="H336" i="2"/>
  <c r="F336" i="2"/>
  <c r="U335" i="2"/>
  <c r="S335" i="2"/>
  <c r="R335" i="2"/>
  <c r="Q335" i="2"/>
  <c r="O335" i="2"/>
  <c r="N335" i="2"/>
  <c r="M335" i="2"/>
  <c r="K335" i="2"/>
  <c r="J335" i="2"/>
  <c r="I335" i="2"/>
  <c r="G335" i="2"/>
  <c r="U334" i="2"/>
  <c r="T334" i="2"/>
  <c r="S334" i="2"/>
  <c r="Q334" i="2"/>
  <c r="P334" i="2"/>
  <c r="O334" i="2"/>
  <c r="M334" i="2"/>
  <c r="L334" i="2"/>
  <c r="K334" i="2"/>
  <c r="I334" i="2"/>
  <c r="H334" i="2"/>
  <c r="G334" i="2"/>
  <c r="F334" i="2"/>
  <c r="U333" i="2"/>
  <c r="S333" i="2"/>
  <c r="R333" i="2"/>
  <c r="Q333" i="2"/>
  <c r="O333" i="2"/>
  <c r="N333" i="2"/>
  <c r="M333" i="2"/>
  <c r="K333" i="2"/>
  <c r="J333" i="2"/>
  <c r="I333" i="2"/>
  <c r="G333" i="2"/>
  <c r="U332" i="2"/>
  <c r="T332" i="2"/>
  <c r="S332" i="2"/>
  <c r="Q332" i="2"/>
  <c r="P332" i="2"/>
  <c r="O332" i="2"/>
  <c r="M332" i="2"/>
  <c r="L332" i="2"/>
  <c r="K332" i="2"/>
  <c r="I332" i="2"/>
  <c r="H332" i="2"/>
  <c r="U331" i="2"/>
  <c r="S331" i="2"/>
  <c r="R331" i="2"/>
  <c r="Q331" i="2"/>
  <c r="O331" i="2"/>
  <c r="N331" i="2"/>
  <c r="M331" i="2"/>
  <c r="K331" i="2"/>
  <c r="J331" i="2"/>
  <c r="I331" i="2"/>
  <c r="G331" i="2"/>
  <c r="U330" i="2"/>
  <c r="T330" i="2"/>
  <c r="S330" i="2"/>
  <c r="Q330" i="2"/>
  <c r="P330" i="2"/>
  <c r="O330" i="2"/>
  <c r="M330" i="2"/>
  <c r="L330" i="2"/>
  <c r="K330" i="2"/>
  <c r="I330" i="2"/>
  <c r="H330" i="2"/>
  <c r="G330" i="2"/>
  <c r="U329" i="2"/>
  <c r="S329" i="2"/>
  <c r="R329" i="2"/>
  <c r="Q329" i="2"/>
  <c r="O329" i="2"/>
  <c r="N329" i="2"/>
  <c r="M329" i="2"/>
  <c r="K329" i="2"/>
  <c r="J329" i="2"/>
  <c r="I329" i="2"/>
  <c r="G329" i="2"/>
  <c r="U328" i="2"/>
  <c r="T328" i="2"/>
  <c r="S328" i="2"/>
  <c r="Q328" i="2"/>
  <c r="P328" i="2"/>
  <c r="O328" i="2"/>
  <c r="M328" i="2"/>
  <c r="L328" i="2"/>
  <c r="K328" i="2"/>
  <c r="I328" i="2"/>
  <c r="H328" i="2"/>
  <c r="U327" i="2"/>
  <c r="S327" i="2"/>
  <c r="R327" i="2"/>
  <c r="Q327" i="2"/>
  <c r="O327" i="2"/>
  <c r="N327" i="2"/>
  <c r="M327" i="2"/>
  <c r="K327" i="2"/>
  <c r="J327" i="2"/>
  <c r="I327" i="2"/>
  <c r="G327" i="2"/>
  <c r="U326" i="2"/>
  <c r="T326" i="2"/>
  <c r="S326" i="2"/>
  <c r="Q326" i="2"/>
  <c r="P326" i="2"/>
  <c r="O326" i="2"/>
  <c r="M326" i="2"/>
  <c r="L326" i="2"/>
  <c r="K326" i="2"/>
  <c r="I326" i="2"/>
  <c r="H326" i="2"/>
  <c r="G326" i="2"/>
  <c r="U325" i="2"/>
  <c r="S325" i="2"/>
  <c r="R325" i="2"/>
  <c r="Q325" i="2"/>
  <c r="O325" i="2"/>
  <c r="N325" i="2"/>
  <c r="M325" i="2"/>
  <c r="K325" i="2"/>
  <c r="J325" i="2"/>
  <c r="I325" i="2"/>
  <c r="G325" i="2"/>
  <c r="U324" i="2"/>
  <c r="T324" i="2"/>
  <c r="S324" i="2"/>
  <c r="Q324" i="2"/>
  <c r="P324" i="2"/>
  <c r="O324" i="2"/>
  <c r="M324" i="2"/>
  <c r="L324" i="2"/>
  <c r="K324" i="2"/>
  <c r="I324" i="2"/>
  <c r="H324" i="2"/>
  <c r="U323" i="2"/>
  <c r="S323" i="2"/>
  <c r="R323" i="2"/>
  <c r="Q323" i="2"/>
  <c r="O323" i="2"/>
  <c r="N323" i="2"/>
  <c r="M323" i="2"/>
  <c r="K323" i="2"/>
  <c r="J323" i="2"/>
  <c r="I323" i="2"/>
  <c r="G323" i="2"/>
  <c r="U322" i="2"/>
  <c r="T322" i="2"/>
  <c r="S322" i="2"/>
  <c r="Q322" i="2"/>
  <c r="P322" i="2"/>
  <c r="O322" i="2"/>
  <c r="M322" i="2"/>
  <c r="L322" i="2"/>
  <c r="K322" i="2"/>
  <c r="I322" i="2"/>
  <c r="H322" i="2"/>
  <c r="G322" i="2"/>
  <c r="U321" i="2"/>
  <c r="S321" i="2"/>
  <c r="R321" i="2"/>
  <c r="Q321" i="2"/>
  <c r="O321" i="2"/>
  <c r="N321" i="2"/>
  <c r="M321" i="2"/>
  <c r="K321" i="2"/>
  <c r="J321" i="2"/>
  <c r="I321" i="2"/>
  <c r="G321" i="2"/>
  <c r="F321" i="2"/>
  <c r="E321" i="2"/>
  <c r="U320" i="2"/>
  <c r="T320" i="2"/>
  <c r="S320" i="2"/>
  <c r="Q320" i="2"/>
  <c r="P320" i="2"/>
  <c r="O320" i="2"/>
  <c r="M320" i="2"/>
  <c r="L320" i="2"/>
  <c r="K320" i="2"/>
  <c r="I320" i="2"/>
  <c r="H320" i="2"/>
  <c r="C320" i="2"/>
  <c r="U319" i="2"/>
  <c r="S319" i="2"/>
  <c r="R319" i="2"/>
  <c r="Q319" i="2"/>
  <c r="O319" i="2"/>
  <c r="N319" i="2"/>
  <c r="M319" i="2"/>
  <c r="K319" i="2"/>
  <c r="J319" i="2"/>
  <c r="I319" i="2"/>
  <c r="C319" i="2"/>
  <c r="U318" i="2"/>
  <c r="T318" i="2"/>
  <c r="S318" i="2"/>
  <c r="Q318" i="2"/>
  <c r="P318" i="2"/>
  <c r="O318" i="2"/>
  <c r="M318" i="2"/>
  <c r="L318" i="2"/>
  <c r="K318" i="2"/>
  <c r="I318" i="2"/>
  <c r="H318" i="2"/>
  <c r="U317" i="2"/>
  <c r="S317" i="2"/>
  <c r="R317" i="2"/>
  <c r="Q317" i="2"/>
  <c r="O317" i="2"/>
  <c r="N317" i="2"/>
  <c r="M317" i="2"/>
  <c r="K317" i="2"/>
  <c r="J317" i="2"/>
  <c r="I317" i="2"/>
  <c r="C317" i="2"/>
  <c r="U316" i="2"/>
  <c r="T316" i="2"/>
  <c r="S316" i="2"/>
  <c r="Q316" i="2"/>
  <c r="P316" i="2"/>
  <c r="O316" i="2"/>
  <c r="M316" i="2"/>
  <c r="L316" i="2"/>
  <c r="K316" i="2"/>
  <c r="I316" i="2"/>
  <c r="H316" i="2"/>
  <c r="C316" i="2"/>
  <c r="U315" i="2"/>
  <c r="S315" i="2"/>
  <c r="R315" i="2"/>
  <c r="Q315" i="2"/>
  <c r="O315" i="2"/>
  <c r="N315" i="2"/>
  <c r="M315" i="2"/>
  <c r="K315" i="2"/>
  <c r="J315" i="2"/>
  <c r="I315" i="2"/>
  <c r="C315" i="2"/>
  <c r="U314" i="2"/>
  <c r="T314" i="2"/>
  <c r="S314" i="2"/>
  <c r="Q314" i="2"/>
  <c r="P314" i="2"/>
  <c r="O314" i="2"/>
  <c r="M314" i="2"/>
  <c r="L314" i="2"/>
  <c r="K314" i="2"/>
  <c r="I314" i="2"/>
  <c r="H314" i="2"/>
  <c r="U313" i="2"/>
  <c r="S313" i="2"/>
  <c r="R313" i="2"/>
  <c r="Q313" i="2"/>
  <c r="O313" i="2"/>
  <c r="N313" i="2"/>
  <c r="M313" i="2"/>
  <c r="K313" i="2"/>
  <c r="J313" i="2"/>
  <c r="I313" i="2"/>
  <c r="C313" i="2"/>
  <c r="U312" i="2"/>
  <c r="T312" i="2"/>
  <c r="S312" i="2"/>
  <c r="Q312" i="2"/>
  <c r="P312" i="2"/>
  <c r="O312" i="2"/>
  <c r="M312" i="2"/>
  <c r="L312" i="2"/>
  <c r="K312" i="2"/>
  <c r="I312" i="2"/>
  <c r="H312" i="2"/>
  <c r="C312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C311" i="2"/>
  <c r="U310" i="2"/>
  <c r="T310" i="2"/>
  <c r="S310" i="2"/>
  <c r="Q310" i="2"/>
  <c r="P310" i="2"/>
  <c r="O310" i="2"/>
  <c r="M310" i="2"/>
  <c r="L310" i="2"/>
  <c r="K310" i="2"/>
  <c r="I310" i="2"/>
  <c r="H310" i="2"/>
  <c r="U309" i="2"/>
  <c r="S309" i="2"/>
  <c r="R309" i="2"/>
  <c r="Q309" i="2"/>
  <c r="O309" i="2"/>
  <c r="N309" i="2"/>
  <c r="M309" i="2"/>
  <c r="K309" i="2"/>
  <c r="J309" i="2"/>
  <c r="I309" i="2"/>
  <c r="C309" i="2"/>
  <c r="U308" i="2"/>
  <c r="T308" i="2"/>
  <c r="S308" i="2"/>
  <c r="Q308" i="2"/>
  <c r="P308" i="2"/>
  <c r="O308" i="2"/>
  <c r="M308" i="2"/>
  <c r="L308" i="2"/>
  <c r="K308" i="2"/>
  <c r="I308" i="2"/>
  <c r="H308" i="2"/>
  <c r="C308" i="2"/>
  <c r="U307" i="2"/>
  <c r="S307" i="2"/>
  <c r="R307" i="2"/>
  <c r="Q307" i="2"/>
  <c r="O307" i="2"/>
  <c r="N307" i="2"/>
  <c r="M307" i="2"/>
  <c r="K307" i="2"/>
  <c r="J307" i="2"/>
  <c r="I307" i="2"/>
  <c r="C307" i="2"/>
  <c r="U306" i="2"/>
  <c r="T306" i="2"/>
  <c r="S306" i="2"/>
  <c r="Q306" i="2"/>
  <c r="P306" i="2"/>
  <c r="O306" i="2"/>
  <c r="M306" i="2"/>
  <c r="L306" i="2"/>
  <c r="K306" i="2"/>
  <c r="I306" i="2"/>
  <c r="H306" i="2"/>
  <c r="U305" i="2"/>
  <c r="S305" i="2"/>
  <c r="R305" i="2"/>
  <c r="Q305" i="2"/>
  <c r="O305" i="2"/>
  <c r="N305" i="2"/>
  <c r="M305" i="2"/>
  <c r="K305" i="2"/>
  <c r="J305" i="2"/>
  <c r="I305" i="2"/>
  <c r="C305" i="2"/>
  <c r="U304" i="2"/>
  <c r="T304" i="2"/>
  <c r="S304" i="2"/>
  <c r="Q304" i="2"/>
  <c r="P304" i="2"/>
  <c r="O304" i="2"/>
  <c r="M304" i="2"/>
  <c r="L304" i="2"/>
  <c r="K304" i="2"/>
  <c r="I304" i="2"/>
  <c r="H304" i="2"/>
  <c r="C304" i="2"/>
  <c r="U303" i="2"/>
  <c r="S303" i="2"/>
  <c r="R303" i="2"/>
  <c r="Q303" i="2"/>
  <c r="O303" i="2"/>
  <c r="N303" i="2"/>
  <c r="M303" i="2"/>
  <c r="K303" i="2"/>
  <c r="J303" i="2"/>
  <c r="I303" i="2"/>
  <c r="C303" i="2"/>
  <c r="U302" i="2"/>
  <c r="T302" i="2"/>
  <c r="S302" i="2"/>
  <c r="Q302" i="2"/>
  <c r="P302" i="2"/>
  <c r="O302" i="2"/>
  <c r="M302" i="2"/>
  <c r="L302" i="2"/>
  <c r="K302" i="2"/>
  <c r="I302" i="2"/>
  <c r="H302" i="2"/>
  <c r="U301" i="2"/>
  <c r="S301" i="2"/>
  <c r="R301" i="2"/>
  <c r="Q301" i="2"/>
  <c r="O301" i="2"/>
  <c r="N301" i="2"/>
  <c r="M301" i="2"/>
  <c r="K301" i="2"/>
  <c r="J301" i="2"/>
  <c r="I301" i="2"/>
  <c r="C301" i="2"/>
  <c r="U300" i="2"/>
  <c r="T300" i="2"/>
  <c r="S300" i="2"/>
  <c r="Q300" i="2"/>
  <c r="P300" i="2"/>
  <c r="O300" i="2"/>
  <c r="M300" i="2"/>
  <c r="L300" i="2"/>
  <c r="K300" i="2"/>
  <c r="I300" i="2"/>
  <c r="H300" i="2"/>
  <c r="C300" i="2"/>
  <c r="U299" i="2"/>
  <c r="S299" i="2"/>
  <c r="R299" i="2"/>
  <c r="Q299" i="2"/>
  <c r="O299" i="2"/>
  <c r="N299" i="2"/>
  <c r="M299" i="2"/>
  <c r="K299" i="2"/>
  <c r="J299" i="2"/>
  <c r="I299" i="2"/>
  <c r="C299" i="2"/>
  <c r="U298" i="2"/>
  <c r="T298" i="2"/>
  <c r="S298" i="2"/>
  <c r="Q298" i="2"/>
  <c r="P298" i="2"/>
  <c r="O298" i="2"/>
  <c r="M298" i="2"/>
  <c r="L298" i="2"/>
  <c r="K298" i="2"/>
  <c r="I298" i="2"/>
  <c r="H298" i="2"/>
  <c r="U297" i="2"/>
  <c r="S297" i="2"/>
  <c r="R297" i="2"/>
  <c r="Q297" i="2"/>
  <c r="O297" i="2"/>
  <c r="N297" i="2"/>
  <c r="M297" i="2"/>
  <c r="K297" i="2"/>
  <c r="J297" i="2"/>
  <c r="I297" i="2"/>
  <c r="C297" i="2"/>
  <c r="U296" i="2"/>
  <c r="T296" i="2"/>
  <c r="S296" i="2"/>
  <c r="Q296" i="2"/>
  <c r="P296" i="2"/>
  <c r="O296" i="2"/>
  <c r="M296" i="2"/>
  <c r="L296" i="2"/>
  <c r="K296" i="2"/>
  <c r="I296" i="2"/>
  <c r="H296" i="2"/>
  <c r="C296" i="2"/>
  <c r="U295" i="2"/>
  <c r="S295" i="2"/>
  <c r="R295" i="2"/>
  <c r="Q295" i="2"/>
  <c r="O295" i="2"/>
  <c r="N295" i="2"/>
  <c r="M295" i="2"/>
  <c r="K295" i="2"/>
  <c r="J295" i="2"/>
  <c r="I295" i="2"/>
  <c r="C295" i="2"/>
  <c r="U294" i="2"/>
  <c r="T294" i="2"/>
  <c r="S294" i="2"/>
  <c r="Q294" i="2"/>
  <c r="P294" i="2"/>
  <c r="O294" i="2"/>
  <c r="M294" i="2"/>
  <c r="L294" i="2"/>
  <c r="K294" i="2"/>
  <c r="I294" i="2"/>
  <c r="H294" i="2"/>
  <c r="U293" i="2"/>
  <c r="S293" i="2"/>
  <c r="R293" i="2"/>
  <c r="Q293" i="2"/>
  <c r="O293" i="2"/>
  <c r="N293" i="2"/>
  <c r="M293" i="2"/>
  <c r="K293" i="2"/>
  <c r="J293" i="2"/>
  <c r="I293" i="2"/>
  <c r="C293" i="2"/>
  <c r="U292" i="2"/>
  <c r="T292" i="2"/>
  <c r="S292" i="2"/>
  <c r="Q292" i="2"/>
  <c r="P292" i="2"/>
  <c r="O292" i="2"/>
  <c r="M292" i="2"/>
  <c r="L292" i="2"/>
  <c r="K292" i="2"/>
  <c r="I292" i="2"/>
  <c r="H292" i="2"/>
  <c r="C292" i="2"/>
  <c r="U291" i="2"/>
  <c r="S291" i="2"/>
  <c r="R291" i="2"/>
  <c r="Q291" i="2"/>
  <c r="O291" i="2"/>
  <c r="N291" i="2"/>
  <c r="M291" i="2"/>
  <c r="K291" i="2"/>
  <c r="J291" i="2"/>
  <c r="I291" i="2"/>
  <c r="C291" i="2"/>
  <c r="U290" i="2"/>
  <c r="T290" i="2"/>
  <c r="S290" i="2"/>
  <c r="Q290" i="2"/>
  <c r="P290" i="2"/>
  <c r="O290" i="2"/>
  <c r="M290" i="2"/>
  <c r="L290" i="2"/>
  <c r="K290" i="2"/>
  <c r="I290" i="2"/>
  <c r="H290" i="2"/>
  <c r="U289" i="2"/>
  <c r="S289" i="2"/>
  <c r="R289" i="2"/>
  <c r="Q289" i="2"/>
  <c r="O289" i="2"/>
  <c r="N289" i="2"/>
  <c r="M289" i="2"/>
  <c r="K289" i="2"/>
  <c r="J289" i="2"/>
  <c r="I289" i="2"/>
  <c r="C289" i="2"/>
  <c r="U288" i="2"/>
  <c r="T288" i="2"/>
  <c r="S288" i="2"/>
  <c r="Q288" i="2"/>
  <c r="P288" i="2"/>
  <c r="O288" i="2"/>
  <c r="M288" i="2"/>
  <c r="L288" i="2"/>
  <c r="K288" i="2"/>
  <c r="I288" i="2"/>
  <c r="H288" i="2"/>
  <c r="C288" i="2"/>
  <c r="U287" i="2"/>
  <c r="S287" i="2"/>
  <c r="R287" i="2"/>
  <c r="Q287" i="2"/>
  <c r="O287" i="2"/>
  <c r="N287" i="2"/>
  <c r="M287" i="2"/>
  <c r="K287" i="2"/>
  <c r="J287" i="2"/>
  <c r="I287" i="2"/>
  <c r="C287" i="2"/>
  <c r="U286" i="2"/>
  <c r="T286" i="2"/>
  <c r="S286" i="2"/>
  <c r="Q286" i="2"/>
  <c r="P286" i="2"/>
  <c r="O286" i="2"/>
  <c r="M286" i="2"/>
  <c r="L286" i="2"/>
  <c r="K286" i="2"/>
  <c r="I286" i="2"/>
  <c r="H286" i="2"/>
  <c r="U285" i="2"/>
  <c r="S285" i="2"/>
  <c r="R285" i="2"/>
  <c r="Q285" i="2"/>
  <c r="O285" i="2"/>
  <c r="N285" i="2"/>
  <c r="M285" i="2"/>
  <c r="K285" i="2"/>
  <c r="J285" i="2"/>
  <c r="I285" i="2"/>
  <c r="C285" i="2"/>
  <c r="U284" i="2"/>
  <c r="T284" i="2"/>
  <c r="S284" i="2"/>
  <c r="Q284" i="2"/>
  <c r="P284" i="2"/>
  <c r="O284" i="2"/>
  <c r="M284" i="2"/>
  <c r="L284" i="2"/>
  <c r="K284" i="2"/>
  <c r="I284" i="2"/>
  <c r="H284" i="2"/>
  <c r="C284" i="2"/>
  <c r="U283" i="2"/>
  <c r="S283" i="2"/>
  <c r="R283" i="2"/>
  <c r="Q283" i="2"/>
  <c r="O283" i="2"/>
  <c r="N283" i="2"/>
  <c r="M283" i="2"/>
  <c r="K283" i="2"/>
  <c r="J283" i="2"/>
  <c r="I283" i="2"/>
  <c r="C283" i="2"/>
  <c r="U282" i="2"/>
  <c r="T282" i="2"/>
  <c r="S282" i="2"/>
  <c r="Q282" i="2"/>
  <c r="P282" i="2"/>
  <c r="O282" i="2"/>
  <c r="M282" i="2"/>
  <c r="L282" i="2"/>
  <c r="K282" i="2"/>
  <c r="I282" i="2"/>
  <c r="H282" i="2"/>
  <c r="U281" i="2"/>
  <c r="S281" i="2"/>
  <c r="R281" i="2"/>
  <c r="Q281" i="2"/>
  <c r="O281" i="2"/>
  <c r="N281" i="2"/>
  <c r="M281" i="2"/>
  <c r="K281" i="2"/>
  <c r="J281" i="2"/>
  <c r="I281" i="2"/>
  <c r="C281" i="2"/>
  <c r="U280" i="2"/>
  <c r="T280" i="2"/>
  <c r="S280" i="2"/>
  <c r="Q280" i="2"/>
  <c r="P280" i="2"/>
  <c r="O280" i="2"/>
  <c r="M280" i="2"/>
  <c r="L280" i="2"/>
  <c r="K280" i="2"/>
  <c r="I280" i="2"/>
  <c r="H280" i="2"/>
  <c r="C280" i="2"/>
  <c r="U279" i="2"/>
  <c r="S279" i="2"/>
  <c r="R279" i="2"/>
  <c r="Q279" i="2"/>
  <c r="O279" i="2"/>
  <c r="N279" i="2"/>
  <c r="M279" i="2"/>
  <c r="K279" i="2"/>
  <c r="J279" i="2"/>
  <c r="I279" i="2"/>
  <c r="C279" i="2"/>
  <c r="U278" i="2"/>
  <c r="T278" i="2"/>
  <c r="S278" i="2"/>
  <c r="Q278" i="2"/>
  <c r="P278" i="2"/>
  <c r="O278" i="2"/>
  <c r="M278" i="2"/>
  <c r="L278" i="2"/>
  <c r="K278" i="2"/>
  <c r="I278" i="2"/>
  <c r="H278" i="2"/>
  <c r="U277" i="2"/>
  <c r="S277" i="2"/>
  <c r="R277" i="2"/>
  <c r="Q277" i="2"/>
  <c r="O277" i="2"/>
  <c r="N277" i="2"/>
  <c r="M277" i="2"/>
  <c r="K277" i="2"/>
  <c r="J277" i="2"/>
  <c r="I277" i="2"/>
  <c r="C277" i="2"/>
  <c r="U276" i="2"/>
  <c r="T276" i="2"/>
  <c r="S276" i="2"/>
  <c r="Q276" i="2"/>
  <c r="P276" i="2"/>
  <c r="O276" i="2"/>
  <c r="M276" i="2"/>
  <c r="L276" i="2"/>
  <c r="K276" i="2"/>
  <c r="I276" i="2"/>
  <c r="H276" i="2"/>
  <c r="C276" i="2"/>
  <c r="U275" i="2"/>
  <c r="S275" i="2"/>
  <c r="R275" i="2"/>
  <c r="Q275" i="2"/>
  <c r="O275" i="2"/>
  <c r="N275" i="2"/>
  <c r="M275" i="2"/>
  <c r="K275" i="2"/>
  <c r="J275" i="2"/>
  <c r="I275" i="2"/>
  <c r="C275" i="2"/>
  <c r="U274" i="2"/>
  <c r="T274" i="2"/>
  <c r="S274" i="2"/>
  <c r="Q274" i="2"/>
  <c r="P274" i="2"/>
  <c r="O274" i="2"/>
  <c r="M274" i="2"/>
  <c r="L274" i="2"/>
  <c r="K274" i="2"/>
  <c r="I274" i="2"/>
  <c r="H274" i="2"/>
  <c r="U273" i="2"/>
  <c r="S273" i="2"/>
  <c r="R273" i="2"/>
  <c r="Q273" i="2"/>
  <c r="O273" i="2"/>
  <c r="N273" i="2"/>
  <c r="M273" i="2"/>
  <c r="K273" i="2"/>
  <c r="J273" i="2"/>
  <c r="I273" i="2"/>
  <c r="C273" i="2"/>
  <c r="U272" i="2"/>
  <c r="T272" i="2"/>
  <c r="S272" i="2"/>
  <c r="Q272" i="2"/>
  <c r="P272" i="2"/>
  <c r="O272" i="2"/>
  <c r="M272" i="2"/>
  <c r="L272" i="2"/>
  <c r="K272" i="2"/>
  <c r="I272" i="2"/>
  <c r="H272" i="2"/>
  <c r="C272" i="2"/>
  <c r="U271" i="2"/>
  <c r="S271" i="2"/>
  <c r="R271" i="2"/>
  <c r="Q271" i="2"/>
  <c r="O271" i="2"/>
  <c r="N271" i="2"/>
  <c r="M271" i="2"/>
  <c r="K271" i="2"/>
  <c r="J271" i="2"/>
  <c r="I271" i="2"/>
  <c r="C271" i="2"/>
  <c r="U270" i="2"/>
  <c r="T270" i="2"/>
  <c r="S270" i="2"/>
  <c r="Q270" i="2"/>
  <c r="P270" i="2"/>
  <c r="O270" i="2"/>
  <c r="M270" i="2"/>
  <c r="L270" i="2"/>
  <c r="K270" i="2"/>
  <c r="I270" i="2"/>
  <c r="H270" i="2"/>
  <c r="U269" i="2"/>
  <c r="S269" i="2"/>
  <c r="R269" i="2"/>
  <c r="Q269" i="2"/>
  <c r="O269" i="2"/>
  <c r="N269" i="2"/>
  <c r="M269" i="2"/>
  <c r="K269" i="2"/>
  <c r="J269" i="2"/>
  <c r="I269" i="2"/>
  <c r="C269" i="2"/>
  <c r="U268" i="2"/>
  <c r="T268" i="2"/>
  <c r="S268" i="2"/>
  <c r="Q268" i="2"/>
  <c r="P268" i="2"/>
  <c r="O268" i="2"/>
  <c r="M268" i="2"/>
  <c r="L268" i="2"/>
  <c r="K268" i="2"/>
  <c r="I268" i="2"/>
  <c r="H268" i="2"/>
  <c r="C268" i="2"/>
  <c r="U267" i="2"/>
  <c r="S267" i="2"/>
  <c r="R267" i="2"/>
  <c r="Q267" i="2"/>
  <c r="O267" i="2"/>
  <c r="N267" i="2"/>
  <c r="M267" i="2"/>
  <c r="K267" i="2"/>
  <c r="J267" i="2"/>
  <c r="I267" i="2"/>
  <c r="C267" i="2"/>
  <c r="U266" i="2"/>
  <c r="T266" i="2"/>
  <c r="S266" i="2"/>
  <c r="Q266" i="2"/>
  <c r="P266" i="2"/>
  <c r="O266" i="2"/>
  <c r="M266" i="2"/>
  <c r="L266" i="2"/>
  <c r="K266" i="2"/>
  <c r="I266" i="2"/>
  <c r="H266" i="2"/>
  <c r="U265" i="2"/>
  <c r="S265" i="2"/>
  <c r="R265" i="2"/>
  <c r="Q265" i="2"/>
  <c r="O265" i="2"/>
  <c r="N265" i="2"/>
  <c r="M265" i="2"/>
  <c r="K265" i="2"/>
  <c r="J265" i="2"/>
  <c r="I265" i="2"/>
  <c r="C265" i="2"/>
  <c r="U264" i="2"/>
  <c r="T264" i="2"/>
  <c r="S264" i="2"/>
  <c r="Q264" i="2"/>
  <c r="P264" i="2"/>
  <c r="O264" i="2"/>
  <c r="M264" i="2"/>
  <c r="L264" i="2"/>
  <c r="K264" i="2"/>
  <c r="I264" i="2"/>
  <c r="H264" i="2"/>
  <c r="C264" i="2"/>
  <c r="U263" i="2"/>
  <c r="S263" i="2"/>
  <c r="R263" i="2"/>
  <c r="Q263" i="2"/>
  <c r="O263" i="2"/>
  <c r="N263" i="2"/>
  <c r="M263" i="2"/>
  <c r="K263" i="2"/>
  <c r="J263" i="2"/>
  <c r="I263" i="2"/>
  <c r="C263" i="2"/>
  <c r="U262" i="2"/>
  <c r="T262" i="2"/>
  <c r="S262" i="2"/>
  <c r="Q262" i="2"/>
  <c r="P262" i="2"/>
  <c r="O262" i="2"/>
  <c r="M262" i="2"/>
  <c r="L262" i="2"/>
  <c r="K262" i="2"/>
  <c r="I262" i="2"/>
  <c r="H262" i="2"/>
  <c r="U261" i="2"/>
  <c r="S261" i="2"/>
  <c r="R261" i="2"/>
  <c r="Q261" i="2"/>
  <c r="O261" i="2"/>
  <c r="N261" i="2"/>
  <c r="M261" i="2"/>
  <c r="K261" i="2"/>
  <c r="J261" i="2"/>
  <c r="I261" i="2"/>
  <c r="C261" i="2"/>
  <c r="U260" i="2"/>
  <c r="T260" i="2"/>
  <c r="S260" i="2"/>
  <c r="Q260" i="2"/>
  <c r="P260" i="2"/>
  <c r="O260" i="2"/>
  <c r="M260" i="2"/>
  <c r="L260" i="2"/>
  <c r="K260" i="2"/>
  <c r="I260" i="2"/>
  <c r="H260" i="2"/>
  <c r="C260" i="2"/>
  <c r="U259" i="2"/>
  <c r="S259" i="2"/>
  <c r="R259" i="2"/>
  <c r="Q259" i="2"/>
  <c r="O259" i="2"/>
  <c r="N259" i="2"/>
  <c r="M259" i="2"/>
  <c r="K259" i="2"/>
  <c r="J259" i="2"/>
  <c r="I259" i="2"/>
  <c r="C259" i="2"/>
  <c r="U258" i="2"/>
  <c r="T258" i="2"/>
  <c r="S258" i="2"/>
  <c r="Q258" i="2"/>
  <c r="P258" i="2"/>
  <c r="O258" i="2"/>
  <c r="M258" i="2"/>
  <c r="L258" i="2"/>
  <c r="K258" i="2"/>
  <c r="I258" i="2"/>
  <c r="H258" i="2"/>
  <c r="C258" i="2"/>
  <c r="U257" i="2"/>
  <c r="S257" i="2"/>
  <c r="R257" i="2"/>
  <c r="Q257" i="2"/>
  <c r="O257" i="2"/>
  <c r="N257" i="2"/>
  <c r="M257" i="2"/>
  <c r="K257" i="2"/>
  <c r="J257" i="2"/>
  <c r="I257" i="2"/>
  <c r="C257" i="2"/>
  <c r="U256" i="2"/>
  <c r="T256" i="2"/>
  <c r="S256" i="2"/>
  <c r="Q256" i="2"/>
  <c r="P256" i="2"/>
  <c r="O256" i="2"/>
  <c r="M256" i="2"/>
  <c r="L256" i="2"/>
  <c r="K256" i="2"/>
  <c r="I256" i="2"/>
  <c r="H256" i="2"/>
  <c r="C256" i="2"/>
  <c r="U255" i="2"/>
  <c r="S255" i="2"/>
  <c r="R255" i="2"/>
  <c r="Q255" i="2"/>
  <c r="O255" i="2"/>
  <c r="N255" i="2"/>
  <c r="M255" i="2"/>
  <c r="K255" i="2"/>
  <c r="J255" i="2"/>
  <c r="I255" i="2"/>
  <c r="C255" i="2"/>
  <c r="U254" i="2"/>
  <c r="T254" i="2"/>
  <c r="S254" i="2"/>
  <c r="Q254" i="2"/>
  <c r="P254" i="2"/>
  <c r="O254" i="2"/>
  <c r="M254" i="2"/>
  <c r="L254" i="2"/>
  <c r="K254" i="2"/>
  <c r="I254" i="2"/>
  <c r="H254" i="2"/>
  <c r="U253" i="2"/>
  <c r="S253" i="2"/>
  <c r="R253" i="2"/>
  <c r="Q253" i="2"/>
  <c r="O253" i="2"/>
  <c r="N253" i="2"/>
  <c r="M253" i="2"/>
  <c r="K253" i="2"/>
  <c r="J253" i="2"/>
  <c r="I253" i="2"/>
  <c r="C253" i="2"/>
  <c r="U252" i="2"/>
  <c r="T252" i="2"/>
  <c r="S252" i="2"/>
  <c r="Q252" i="2"/>
  <c r="P252" i="2"/>
  <c r="O252" i="2"/>
  <c r="M252" i="2"/>
  <c r="L252" i="2"/>
  <c r="K252" i="2"/>
  <c r="I252" i="2"/>
  <c r="H252" i="2"/>
  <c r="C252" i="2"/>
  <c r="U251" i="2"/>
  <c r="S251" i="2"/>
  <c r="R251" i="2"/>
  <c r="Q251" i="2"/>
  <c r="O251" i="2"/>
  <c r="N251" i="2"/>
  <c r="M251" i="2"/>
  <c r="K251" i="2"/>
  <c r="J251" i="2"/>
  <c r="I251" i="2"/>
  <c r="C251" i="2"/>
  <c r="U250" i="2"/>
  <c r="T250" i="2"/>
  <c r="S250" i="2"/>
  <c r="Q250" i="2"/>
  <c r="P250" i="2"/>
  <c r="O250" i="2"/>
  <c r="M250" i="2"/>
  <c r="L250" i="2"/>
  <c r="K250" i="2"/>
  <c r="I250" i="2"/>
  <c r="H250" i="2"/>
  <c r="U249" i="2"/>
  <c r="S249" i="2"/>
  <c r="R249" i="2"/>
  <c r="Q249" i="2"/>
  <c r="O249" i="2"/>
  <c r="N249" i="2"/>
  <c r="M249" i="2"/>
  <c r="K249" i="2"/>
  <c r="J249" i="2"/>
  <c r="I249" i="2"/>
  <c r="C249" i="2"/>
  <c r="U248" i="2"/>
  <c r="T248" i="2"/>
  <c r="S248" i="2"/>
  <c r="Q248" i="2"/>
  <c r="P248" i="2"/>
  <c r="O248" i="2"/>
  <c r="M248" i="2"/>
  <c r="L248" i="2"/>
  <c r="K248" i="2"/>
  <c r="I248" i="2"/>
  <c r="H248" i="2"/>
  <c r="C248" i="2"/>
  <c r="U247" i="2"/>
  <c r="S247" i="2"/>
  <c r="R247" i="2"/>
  <c r="Q247" i="2"/>
  <c r="O247" i="2"/>
  <c r="N247" i="2"/>
  <c r="M247" i="2"/>
  <c r="K247" i="2"/>
  <c r="J247" i="2"/>
  <c r="I247" i="2"/>
  <c r="C247" i="2"/>
  <c r="U246" i="2"/>
  <c r="T246" i="2"/>
  <c r="S246" i="2"/>
  <c r="Q246" i="2"/>
  <c r="P246" i="2"/>
  <c r="O246" i="2"/>
  <c r="M246" i="2"/>
  <c r="L246" i="2"/>
  <c r="K246" i="2"/>
  <c r="I246" i="2"/>
  <c r="H246" i="2"/>
  <c r="U245" i="2"/>
  <c r="S245" i="2"/>
  <c r="R245" i="2"/>
  <c r="Q245" i="2"/>
  <c r="O245" i="2"/>
  <c r="N245" i="2"/>
  <c r="M245" i="2"/>
  <c r="K245" i="2"/>
  <c r="J245" i="2"/>
  <c r="I245" i="2"/>
  <c r="C245" i="2"/>
  <c r="U244" i="2"/>
  <c r="T244" i="2"/>
  <c r="S244" i="2"/>
  <c r="Q244" i="2"/>
  <c r="P244" i="2"/>
  <c r="O244" i="2"/>
  <c r="M244" i="2"/>
  <c r="L244" i="2"/>
  <c r="K244" i="2"/>
  <c r="I244" i="2"/>
  <c r="H244" i="2"/>
  <c r="C244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C243" i="2"/>
  <c r="U242" i="2"/>
  <c r="T242" i="2"/>
  <c r="S242" i="2"/>
  <c r="Q242" i="2"/>
  <c r="P242" i="2"/>
  <c r="O242" i="2"/>
  <c r="M242" i="2"/>
  <c r="L242" i="2"/>
  <c r="K242" i="2"/>
  <c r="I242" i="2"/>
  <c r="H242" i="2"/>
  <c r="U241" i="2"/>
  <c r="S241" i="2"/>
  <c r="R241" i="2"/>
  <c r="Q241" i="2"/>
  <c r="O241" i="2"/>
  <c r="N241" i="2"/>
  <c r="M241" i="2"/>
  <c r="K241" i="2"/>
  <c r="J241" i="2"/>
  <c r="I241" i="2"/>
  <c r="C241" i="2"/>
  <c r="U240" i="2"/>
  <c r="T240" i="2"/>
  <c r="S240" i="2"/>
  <c r="Q240" i="2"/>
  <c r="P240" i="2"/>
  <c r="O240" i="2"/>
  <c r="M240" i="2"/>
  <c r="L240" i="2"/>
  <c r="K240" i="2"/>
  <c r="I240" i="2"/>
  <c r="H240" i="2"/>
  <c r="C240" i="2"/>
  <c r="U239" i="2"/>
  <c r="S239" i="2"/>
  <c r="R239" i="2"/>
  <c r="Q239" i="2"/>
  <c r="O239" i="2"/>
  <c r="N239" i="2"/>
  <c r="M239" i="2"/>
  <c r="K239" i="2"/>
  <c r="J239" i="2"/>
  <c r="I239" i="2"/>
  <c r="C239" i="2"/>
  <c r="U238" i="2"/>
  <c r="T238" i="2"/>
  <c r="S238" i="2"/>
  <c r="Q238" i="2"/>
  <c r="P238" i="2"/>
  <c r="O238" i="2"/>
  <c r="M238" i="2"/>
  <c r="L238" i="2"/>
  <c r="K238" i="2"/>
  <c r="I238" i="2"/>
  <c r="H238" i="2"/>
  <c r="U237" i="2"/>
  <c r="S237" i="2"/>
  <c r="R237" i="2"/>
  <c r="Q237" i="2"/>
  <c r="O237" i="2"/>
  <c r="N237" i="2"/>
  <c r="M237" i="2"/>
  <c r="K237" i="2"/>
  <c r="J237" i="2"/>
  <c r="I237" i="2"/>
  <c r="C237" i="2"/>
  <c r="U236" i="2"/>
  <c r="T236" i="2"/>
  <c r="S236" i="2"/>
  <c r="Q236" i="2"/>
  <c r="P236" i="2"/>
  <c r="O236" i="2"/>
  <c r="M236" i="2"/>
  <c r="L236" i="2"/>
  <c r="K236" i="2"/>
  <c r="I236" i="2"/>
  <c r="H236" i="2"/>
  <c r="C236" i="2"/>
  <c r="U235" i="2"/>
  <c r="S235" i="2"/>
  <c r="R235" i="2"/>
  <c r="Q235" i="2"/>
  <c r="O235" i="2"/>
  <c r="N235" i="2"/>
  <c r="M235" i="2"/>
  <c r="K235" i="2"/>
  <c r="J235" i="2"/>
  <c r="I235" i="2"/>
  <c r="C235" i="2"/>
  <c r="U234" i="2"/>
  <c r="T234" i="2"/>
  <c r="S234" i="2"/>
  <c r="Q234" i="2"/>
  <c r="P234" i="2"/>
  <c r="O234" i="2"/>
  <c r="M234" i="2"/>
  <c r="L234" i="2"/>
  <c r="K234" i="2"/>
  <c r="I234" i="2"/>
  <c r="H234" i="2"/>
  <c r="G234" i="2"/>
  <c r="F234" i="2"/>
  <c r="E234" i="2"/>
  <c r="T233" i="2"/>
  <c r="S233" i="2"/>
  <c r="R233" i="2"/>
  <c r="P233" i="2"/>
  <c r="O233" i="2"/>
  <c r="N233" i="2"/>
  <c r="L233" i="2"/>
  <c r="K233" i="2"/>
  <c r="J233" i="2"/>
  <c r="H233" i="2"/>
  <c r="F233" i="2"/>
  <c r="E233" i="2"/>
  <c r="U232" i="2"/>
  <c r="S232" i="2"/>
  <c r="R232" i="2"/>
  <c r="Q232" i="2"/>
  <c r="O232" i="2"/>
  <c r="N232" i="2"/>
  <c r="M232" i="2"/>
  <c r="K232" i="2"/>
  <c r="J232" i="2"/>
  <c r="I232" i="2"/>
  <c r="G232" i="2"/>
  <c r="E232" i="2"/>
  <c r="U231" i="2"/>
  <c r="T231" i="2"/>
  <c r="R231" i="2"/>
  <c r="Q231" i="2"/>
  <c r="P231" i="2"/>
  <c r="N231" i="2"/>
  <c r="M231" i="2"/>
  <c r="L231" i="2"/>
  <c r="J231" i="2"/>
  <c r="I231" i="2"/>
  <c r="H231" i="2"/>
  <c r="G231" i="2"/>
  <c r="F231" i="2"/>
  <c r="U230" i="2"/>
  <c r="T230" i="2"/>
  <c r="S230" i="2"/>
  <c r="Q230" i="2"/>
  <c r="P230" i="2"/>
  <c r="O230" i="2"/>
  <c r="M230" i="2"/>
  <c r="L230" i="2"/>
  <c r="K230" i="2"/>
  <c r="I230" i="2"/>
  <c r="H230" i="2"/>
  <c r="G230" i="2"/>
  <c r="F230" i="2"/>
  <c r="E230" i="2"/>
  <c r="T229" i="2"/>
  <c r="S229" i="2"/>
  <c r="R229" i="2"/>
  <c r="P229" i="2"/>
  <c r="O229" i="2"/>
  <c r="N229" i="2"/>
  <c r="L229" i="2"/>
  <c r="K229" i="2"/>
  <c r="J229" i="2"/>
  <c r="H229" i="2"/>
  <c r="F229" i="2"/>
  <c r="E229" i="2"/>
  <c r="U228" i="2"/>
  <c r="S228" i="2"/>
  <c r="R228" i="2"/>
  <c r="Q228" i="2"/>
  <c r="O228" i="2"/>
  <c r="N228" i="2"/>
  <c r="M228" i="2"/>
  <c r="K228" i="2"/>
  <c r="J228" i="2"/>
  <c r="I228" i="2"/>
  <c r="G228" i="2"/>
  <c r="E228" i="2"/>
  <c r="U227" i="2"/>
  <c r="T227" i="2"/>
  <c r="R227" i="2"/>
  <c r="Q227" i="2"/>
  <c r="P227" i="2"/>
  <c r="N227" i="2"/>
  <c r="M227" i="2"/>
  <c r="L227" i="2"/>
  <c r="J227" i="2"/>
  <c r="I227" i="2"/>
  <c r="H227" i="2"/>
  <c r="G227" i="2"/>
  <c r="F227" i="2"/>
  <c r="U226" i="2"/>
  <c r="T226" i="2"/>
  <c r="S226" i="2"/>
  <c r="Q226" i="2"/>
  <c r="P226" i="2"/>
  <c r="O226" i="2"/>
  <c r="M226" i="2"/>
  <c r="L226" i="2"/>
  <c r="K226" i="2"/>
  <c r="I226" i="2"/>
  <c r="H226" i="2"/>
  <c r="G226" i="2"/>
  <c r="F226" i="2"/>
  <c r="E226" i="2"/>
  <c r="T225" i="2"/>
  <c r="S225" i="2"/>
  <c r="R225" i="2"/>
  <c r="P225" i="2"/>
  <c r="O225" i="2"/>
  <c r="N225" i="2"/>
  <c r="L225" i="2"/>
  <c r="K225" i="2"/>
  <c r="J225" i="2"/>
  <c r="H225" i="2"/>
  <c r="F225" i="2"/>
  <c r="E225" i="2"/>
  <c r="U224" i="2"/>
  <c r="S224" i="2"/>
  <c r="R224" i="2"/>
  <c r="Q224" i="2"/>
  <c r="O224" i="2"/>
  <c r="N224" i="2"/>
  <c r="M224" i="2"/>
  <c r="K224" i="2"/>
  <c r="J224" i="2"/>
  <c r="I224" i="2"/>
  <c r="G224" i="2"/>
  <c r="E224" i="2"/>
  <c r="U223" i="2"/>
  <c r="T223" i="2"/>
  <c r="R223" i="2"/>
  <c r="Q223" i="2"/>
  <c r="P223" i="2"/>
  <c r="N223" i="2"/>
  <c r="M223" i="2"/>
  <c r="L223" i="2"/>
  <c r="J223" i="2"/>
  <c r="I223" i="2"/>
  <c r="H223" i="2"/>
  <c r="G223" i="2"/>
  <c r="F223" i="2"/>
  <c r="U222" i="2"/>
  <c r="T222" i="2"/>
  <c r="S222" i="2"/>
  <c r="Q222" i="2"/>
  <c r="P222" i="2"/>
  <c r="O222" i="2"/>
  <c r="M222" i="2"/>
  <c r="L222" i="2"/>
  <c r="K222" i="2"/>
  <c r="I222" i="2"/>
  <c r="H222" i="2"/>
  <c r="G222" i="2"/>
  <c r="F222" i="2"/>
  <c r="E222" i="2"/>
  <c r="T221" i="2"/>
  <c r="S221" i="2"/>
  <c r="R221" i="2"/>
  <c r="P221" i="2"/>
  <c r="O221" i="2"/>
  <c r="N221" i="2"/>
  <c r="L221" i="2"/>
  <c r="K221" i="2"/>
  <c r="J221" i="2"/>
  <c r="H221" i="2"/>
  <c r="F221" i="2"/>
  <c r="E221" i="2"/>
  <c r="U220" i="2"/>
  <c r="S220" i="2"/>
  <c r="R220" i="2"/>
  <c r="Q220" i="2"/>
  <c r="O220" i="2"/>
  <c r="N220" i="2"/>
  <c r="M220" i="2"/>
  <c r="K220" i="2"/>
  <c r="J220" i="2"/>
  <c r="I220" i="2"/>
  <c r="G220" i="2"/>
  <c r="E220" i="2"/>
  <c r="U219" i="2"/>
  <c r="T219" i="2"/>
  <c r="R219" i="2"/>
  <c r="Q219" i="2"/>
  <c r="P219" i="2"/>
  <c r="N219" i="2"/>
  <c r="M219" i="2"/>
  <c r="L219" i="2"/>
  <c r="J219" i="2"/>
  <c r="I219" i="2"/>
  <c r="H219" i="2"/>
  <c r="G219" i="2"/>
  <c r="F219" i="2"/>
  <c r="U218" i="2"/>
  <c r="T218" i="2"/>
  <c r="S218" i="2"/>
  <c r="Q218" i="2"/>
  <c r="P218" i="2"/>
  <c r="O218" i="2"/>
  <c r="M218" i="2"/>
  <c r="L218" i="2"/>
  <c r="K218" i="2"/>
  <c r="I218" i="2"/>
  <c r="H218" i="2"/>
  <c r="G218" i="2"/>
  <c r="F218" i="2"/>
  <c r="E218" i="2"/>
  <c r="T217" i="2"/>
  <c r="S217" i="2"/>
  <c r="R217" i="2"/>
  <c r="P217" i="2"/>
  <c r="O217" i="2"/>
  <c r="N217" i="2"/>
  <c r="L217" i="2"/>
  <c r="K217" i="2"/>
  <c r="J217" i="2"/>
  <c r="H217" i="2"/>
  <c r="F217" i="2"/>
  <c r="E217" i="2"/>
  <c r="U216" i="2"/>
  <c r="S216" i="2"/>
  <c r="R216" i="2"/>
  <c r="Q216" i="2"/>
  <c r="O216" i="2"/>
  <c r="N216" i="2"/>
  <c r="M216" i="2"/>
  <c r="K216" i="2"/>
  <c r="J216" i="2"/>
  <c r="I216" i="2"/>
  <c r="G216" i="2"/>
  <c r="E216" i="2"/>
  <c r="U215" i="2"/>
  <c r="T215" i="2"/>
  <c r="R215" i="2"/>
  <c r="Q215" i="2"/>
  <c r="P215" i="2"/>
  <c r="N215" i="2"/>
  <c r="M215" i="2"/>
  <c r="L215" i="2"/>
  <c r="J215" i="2"/>
  <c r="I215" i="2"/>
  <c r="H215" i="2"/>
  <c r="G215" i="2"/>
  <c r="F215" i="2"/>
  <c r="U214" i="2"/>
  <c r="T214" i="2"/>
  <c r="S214" i="2"/>
  <c r="Q214" i="2"/>
  <c r="P214" i="2"/>
  <c r="O214" i="2"/>
  <c r="M214" i="2"/>
  <c r="L214" i="2"/>
  <c r="K214" i="2"/>
  <c r="I214" i="2"/>
  <c r="H214" i="2"/>
  <c r="G214" i="2"/>
  <c r="F214" i="2"/>
  <c r="E214" i="2"/>
  <c r="T213" i="2"/>
  <c r="S213" i="2"/>
  <c r="R213" i="2"/>
  <c r="P213" i="2"/>
  <c r="O213" i="2"/>
  <c r="N213" i="2"/>
  <c r="L213" i="2"/>
  <c r="K213" i="2"/>
  <c r="J213" i="2"/>
  <c r="H213" i="2"/>
  <c r="F213" i="2"/>
  <c r="E213" i="2"/>
  <c r="U212" i="2"/>
  <c r="S212" i="2"/>
  <c r="R212" i="2"/>
  <c r="Q212" i="2"/>
  <c r="O212" i="2"/>
  <c r="N212" i="2"/>
  <c r="M212" i="2"/>
  <c r="K212" i="2"/>
  <c r="J212" i="2"/>
  <c r="I212" i="2"/>
  <c r="G212" i="2"/>
  <c r="E212" i="2"/>
  <c r="U211" i="2"/>
  <c r="T211" i="2"/>
  <c r="R211" i="2"/>
  <c r="Q211" i="2"/>
  <c r="P211" i="2"/>
  <c r="N211" i="2"/>
  <c r="M211" i="2"/>
  <c r="L211" i="2"/>
  <c r="J211" i="2"/>
  <c r="I211" i="2"/>
  <c r="H211" i="2"/>
  <c r="G211" i="2"/>
  <c r="F211" i="2"/>
  <c r="U210" i="2"/>
  <c r="T210" i="2"/>
  <c r="S210" i="2"/>
  <c r="Q210" i="2"/>
  <c r="P210" i="2"/>
  <c r="O210" i="2"/>
  <c r="M210" i="2"/>
  <c r="L210" i="2"/>
  <c r="K210" i="2"/>
  <c r="I210" i="2"/>
  <c r="H210" i="2"/>
  <c r="G210" i="2"/>
  <c r="F210" i="2"/>
  <c r="E210" i="2"/>
  <c r="T209" i="2"/>
  <c r="S209" i="2"/>
  <c r="R209" i="2"/>
  <c r="P209" i="2"/>
  <c r="O209" i="2"/>
  <c r="N209" i="2"/>
  <c r="L209" i="2"/>
  <c r="K209" i="2"/>
  <c r="J209" i="2"/>
  <c r="H209" i="2"/>
  <c r="F209" i="2"/>
  <c r="E209" i="2"/>
  <c r="U208" i="2"/>
  <c r="S208" i="2"/>
  <c r="R208" i="2"/>
  <c r="Q208" i="2"/>
  <c r="O208" i="2"/>
  <c r="N208" i="2"/>
  <c r="M208" i="2"/>
  <c r="K208" i="2"/>
  <c r="J208" i="2"/>
  <c r="I208" i="2"/>
  <c r="G208" i="2"/>
  <c r="E208" i="2"/>
  <c r="U207" i="2"/>
  <c r="T207" i="2"/>
  <c r="R207" i="2"/>
  <c r="Q207" i="2"/>
  <c r="P207" i="2"/>
  <c r="N207" i="2"/>
  <c r="M207" i="2"/>
  <c r="L207" i="2"/>
  <c r="J207" i="2"/>
  <c r="I207" i="2"/>
  <c r="H207" i="2"/>
  <c r="G207" i="2"/>
  <c r="F207" i="2"/>
  <c r="U206" i="2"/>
  <c r="T206" i="2"/>
  <c r="S206" i="2"/>
  <c r="Q206" i="2"/>
  <c r="P206" i="2"/>
  <c r="O206" i="2"/>
  <c r="M206" i="2"/>
  <c r="L206" i="2"/>
  <c r="K206" i="2"/>
  <c r="I206" i="2"/>
  <c r="H206" i="2"/>
  <c r="G206" i="2"/>
  <c r="F206" i="2"/>
  <c r="E206" i="2"/>
  <c r="U205" i="2"/>
  <c r="T205" i="2"/>
  <c r="S205" i="2"/>
  <c r="Q205" i="2"/>
  <c r="P205" i="2"/>
  <c r="O205" i="2"/>
  <c r="M205" i="2"/>
  <c r="L205" i="2"/>
  <c r="K205" i="2"/>
  <c r="I205" i="2"/>
  <c r="H205" i="2"/>
  <c r="U204" i="2"/>
  <c r="S204" i="2"/>
  <c r="R204" i="2"/>
  <c r="Q204" i="2"/>
  <c r="O204" i="2"/>
  <c r="N204" i="2"/>
  <c r="M204" i="2"/>
  <c r="K204" i="2"/>
  <c r="J204" i="2"/>
  <c r="I204" i="2"/>
  <c r="U203" i="2"/>
  <c r="T203" i="2"/>
  <c r="S203" i="2"/>
  <c r="Q203" i="2"/>
  <c r="P203" i="2"/>
  <c r="O203" i="2"/>
  <c r="M203" i="2"/>
  <c r="L203" i="2"/>
  <c r="K203" i="2"/>
  <c r="I203" i="2"/>
  <c r="H203" i="2"/>
  <c r="U202" i="2"/>
  <c r="S202" i="2"/>
  <c r="R202" i="2"/>
  <c r="Q202" i="2"/>
  <c r="O202" i="2"/>
  <c r="N202" i="2"/>
  <c r="M202" i="2"/>
  <c r="K202" i="2"/>
  <c r="J202" i="2"/>
  <c r="I202" i="2"/>
  <c r="U201" i="2"/>
  <c r="T201" i="2"/>
  <c r="S201" i="2"/>
  <c r="Q201" i="2"/>
  <c r="P201" i="2"/>
  <c r="O201" i="2"/>
  <c r="M201" i="2"/>
  <c r="L201" i="2"/>
  <c r="K201" i="2"/>
  <c r="I201" i="2"/>
  <c r="H201" i="2"/>
  <c r="U200" i="2"/>
  <c r="S200" i="2"/>
  <c r="R200" i="2"/>
  <c r="Q200" i="2"/>
  <c r="O200" i="2"/>
  <c r="N200" i="2"/>
  <c r="M200" i="2"/>
  <c r="K200" i="2"/>
  <c r="J200" i="2"/>
  <c r="I200" i="2"/>
  <c r="U199" i="2"/>
  <c r="T199" i="2"/>
  <c r="S199" i="2"/>
  <c r="Q199" i="2"/>
  <c r="P199" i="2"/>
  <c r="O199" i="2"/>
  <c r="M199" i="2"/>
  <c r="L199" i="2"/>
  <c r="K199" i="2"/>
  <c r="I199" i="2"/>
  <c r="H199" i="2"/>
  <c r="U198" i="2"/>
  <c r="S198" i="2"/>
  <c r="R198" i="2"/>
  <c r="Q198" i="2"/>
  <c r="O198" i="2"/>
  <c r="N198" i="2"/>
  <c r="M198" i="2"/>
  <c r="K198" i="2"/>
  <c r="J198" i="2"/>
  <c r="I198" i="2"/>
  <c r="U197" i="2"/>
  <c r="T197" i="2"/>
  <c r="S197" i="2"/>
  <c r="Q197" i="2"/>
  <c r="P197" i="2"/>
  <c r="O197" i="2"/>
  <c r="M197" i="2"/>
  <c r="L197" i="2"/>
  <c r="K197" i="2"/>
  <c r="I197" i="2"/>
  <c r="H197" i="2"/>
  <c r="U196" i="2"/>
  <c r="S196" i="2"/>
  <c r="R196" i="2"/>
  <c r="Q196" i="2"/>
  <c r="O196" i="2"/>
  <c r="N196" i="2"/>
  <c r="M196" i="2"/>
  <c r="K196" i="2"/>
  <c r="J196" i="2"/>
  <c r="I196" i="2"/>
  <c r="U195" i="2"/>
  <c r="T195" i="2"/>
  <c r="S195" i="2"/>
  <c r="Q195" i="2"/>
  <c r="P195" i="2"/>
  <c r="O195" i="2"/>
  <c r="M195" i="2"/>
  <c r="L195" i="2"/>
  <c r="K195" i="2"/>
  <c r="I195" i="2"/>
  <c r="H195" i="2"/>
  <c r="U194" i="2"/>
  <c r="S194" i="2"/>
  <c r="R194" i="2"/>
  <c r="Q194" i="2"/>
  <c r="O194" i="2"/>
  <c r="N194" i="2"/>
  <c r="M194" i="2"/>
  <c r="K194" i="2"/>
  <c r="J194" i="2"/>
  <c r="I194" i="2"/>
  <c r="U193" i="2"/>
  <c r="T193" i="2"/>
  <c r="S193" i="2"/>
  <c r="Q193" i="2"/>
  <c r="P193" i="2"/>
  <c r="O193" i="2"/>
  <c r="M193" i="2"/>
  <c r="L193" i="2"/>
  <c r="K193" i="2"/>
  <c r="I193" i="2"/>
  <c r="H193" i="2"/>
  <c r="U192" i="2"/>
  <c r="S192" i="2"/>
  <c r="R192" i="2"/>
  <c r="Q192" i="2"/>
  <c r="O192" i="2"/>
  <c r="N192" i="2"/>
  <c r="M192" i="2"/>
  <c r="K192" i="2"/>
  <c r="J192" i="2"/>
  <c r="I192" i="2"/>
  <c r="U191" i="2"/>
  <c r="T191" i="2"/>
  <c r="S191" i="2"/>
  <c r="Q191" i="2"/>
  <c r="P191" i="2"/>
  <c r="O191" i="2"/>
  <c r="M191" i="2"/>
  <c r="L191" i="2"/>
  <c r="K191" i="2"/>
  <c r="I191" i="2"/>
  <c r="H191" i="2"/>
  <c r="U190" i="2"/>
  <c r="S190" i="2"/>
  <c r="R190" i="2"/>
  <c r="Q190" i="2"/>
  <c r="O190" i="2"/>
  <c r="N190" i="2"/>
  <c r="M190" i="2"/>
  <c r="K190" i="2"/>
  <c r="J190" i="2"/>
  <c r="I190" i="2"/>
  <c r="U189" i="2"/>
  <c r="T189" i="2"/>
  <c r="S189" i="2"/>
  <c r="Q189" i="2"/>
  <c r="P189" i="2"/>
  <c r="O189" i="2"/>
  <c r="M189" i="2"/>
  <c r="L189" i="2"/>
  <c r="K189" i="2"/>
  <c r="I189" i="2"/>
  <c r="H189" i="2"/>
  <c r="T188" i="2"/>
  <c r="S188" i="2"/>
  <c r="R188" i="2"/>
  <c r="P188" i="2"/>
  <c r="O188" i="2"/>
  <c r="N188" i="2"/>
  <c r="L188" i="2"/>
  <c r="K188" i="2"/>
  <c r="J188" i="2"/>
  <c r="H188" i="2"/>
  <c r="E188" i="2"/>
  <c r="U187" i="2"/>
  <c r="T187" i="2"/>
  <c r="R187" i="2"/>
  <c r="Q187" i="2"/>
  <c r="P187" i="2"/>
  <c r="N187" i="2"/>
  <c r="M187" i="2"/>
  <c r="L187" i="2"/>
  <c r="J187" i="2"/>
  <c r="I187" i="2"/>
  <c r="H187" i="2"/>
  <c r="G187" i="2"/>
  <c r="T186" i="2"/>
  <c r="S186" i="2"/>
  <c r="R186" i="2"/>
  <c r="P186" i="2"/>
  <c r="O186" i="2"/>
  <c r="N186" i="2"/>
  <c r="L186" i="2"/>
  <c r="K186" i="2"/>
  <c r="J186" i="2"/>
  <c r="H186" i="2"/>
  <c r="G186" i="2"/>
  <c r="F186" i="2"/>
  <c r="U185" i="2"/>
  <c r="T185" i="2"/>
  <c r="R185" i="2"/>
  <c r="Q185" i="2"/>
  <c r="P185" i="2"/>
  <c r="N185" i="2"/>
  <c r="M185" i="2"/>
  <c r="L185" i="2"/>
  <c r="J185" i="2"/>
  <c r="I185" i="2"/>
  <c r="H185" i="2"/>
  <c r="F185" i="2"/>
  <c r="E185" i="2"/>
  <c r="T184" i="2"/>
  <c r="S184" i="2"/>
  <c r="R184" i="2"/>
  <c r="P184" i="2"/>
  <c r="O184" i="2"/>
  <c r="N184" i="2"/>
  <c r="L184" i="2"/>
  <c r="K184" i="2"/>
  <c r="J184" i="2"/>
  <c r="H184" i="2"/>
  <c r="E184" i="2"/>
  <c r="U183" i="2"/>
  <c r="T183" i="2"/>
  <c r="R183" i="2"/>
  <c r="Q183" i="2"/>
  <c r="P183" i="2"/>
  <c r="N183" i="2"/>
  <c r="M183" i="2"/>
  <c r="L183" i="2"/>
  <c r="J183" i="2"/>
  <c r="I183" i="2"/>
  <c r="H183" i="2"/>
  <c r="G183" i="2"/>
  <c r="F183" i="2"/>
  <c r="T182" i="2"/>
  <c r="S182" i="2"/>
  <c r="R182" i="2"/>
  <c r="P182" i="2"/>
  <c r="O182" i="2"/>
  <c r="N182" i="2"/>
  <c r="L182" i="2"/>
  <c r="K182" i="2"/>
  <c r="J182" i="2"/>
  <c r="H182" i="2"/>
  <c r="G182" i="2"/>
  <c r="F182" i="2"/>
  <c r="U181" i="2"/>
  <c r="T181" i="2"/>
  <c r="R181" i="2"/>
  <c r="Q181" i="2"/>
  <c r="P181" i="2"/>
  <c r="N181" i="2"/>
  <c r="M181" i="2"/>
  <c r="L181" i="2"/>
  <c r="J181" i="2"/>
  <c r="I181" i="2"/>
  <c r="H181" i="2"/>
  <c r="F181" i="2"/>
  <c r="E181" i="2"/>
  <c r="T180" i="2"/>
  <c r="S180" i="2"/>
  <c r="R180" i="2"/>
  <c r="P180" i="2"/>
  <c r="O180" i="2"/>
  <c r="N180" i="2"/>
  <c r="L180" i="2"/>
  <c r="K180" i="2"/>
  <c r="J180" i="2"/>
  <c r="H180" i="2"/>
  <c r="E180" i="2"/>
  <c r="U179" i="2"/>
  <c r="T179" i="2"/>
  <c r="R179" i="2"/>
  <c r="Q179" i="2"/>
  <c r="P179" i="2"/>
  <c r="N179" i="2"/>
  <c r="M179" i="2"/>
  <c r="L179" i="2"/>
  <c r="J179" i="2"/>
  <c r="I179" i="2"/>
  <c r="H179" i="2"/>
  <c r="G179" i="2"/>
  <c r="F179" i="2"/>
  <c r="T178" i="2"/>
  <c r="S178" i="2"/>
  <c r="R178" i="2"/>
  <c r="P178" i="2"/>
  <c r="O178" i="2"/>
  <c r="N178" i="2"/>
  <c r="L178" i="2"/>
  <c r="K178" i="2"/>
  <c r="J178" i="2"/>
  <c r="H178" i="2"/>
  <c r="G178" i="2"/>
  <c r="F178" i="2"/>
  <c r="U177" i="2"/>
  <c r="T177" i="2"/>
  <c r="R177" i="2"/>
  <c r="Q177" i="2"/>
  <c r="P177" i="2"/>
  <c r="N177" i="2"/>
  <c r="M177" i="2"/>
  <c r="L177" i="2"/>
  <c r="J177" i="2"/>
  <c r="I177" i="2"/>
  <c r="H177" i="2"/>
  <c r="F177" i="2"/>
  <c r="E177" i="2"/>
  <c r="T176" i="2"/>
  <c r="S176" i="2"/>
  <c r="R176" i="2"/>
  <c r="P176" i="2"/>
  <c r="O176" i="2"/>
  <c r="N176" i="2"/>
  <c r="L176" i="2"/>
  <c r="K176" i="2"/>
  <c r="J176" i="2"/>
  <c r="H176" i="2"/>
  <c r="E176" i="2"/>
  <c r="U175" i="2"/>
  <c r="T175" i="2"/>
  <c r="R175" i="2"/>
  <c r="Q175" i="2"/>
  <c r="P175" i="2"/>
  <c r="N175" i="2"/>
  <c r="M175" i="2"/>
  <c r="L175" i="2"/>
  <c r="J175" i="2"/>
  <c r="I175" i="2"/>
  <c r="H175" i="2"/>
  <c r="G175" i="2"/>
  <c r="T174" i="2"/>
  <c r="S174" i="2"/>
  <c r="R174" i="2"/>
  <c r="P174" i="2"/>
  <c r="O174" i="2"/>
  <c r="N174" i="2"/>
  <c r="L174" i="2"/>
  <c r="K174" i="2"/>
  <c r="J174" i="2"/>
  <c r="H174" i="2"/>
  <c r="G174" i="2"/>
  <c r="F174" i="2"/>
  <c r="U173" i="2"/>
  <c r="T173" i="2"/>
  <c r="R173" i="2"/>
  <c r="Q173" i="2"/>
  <c r="P173" i="2"/>
  <c r="N173" i="2"/>
  <c r="M173" i="2"/>
  <c r="L173" i="2"/>
  <c r="J173" i="2"/>
  <c r="I173" i="2"/>
  <c r="H173" i="2"/>
  <c r="F173" i="2"/>
  <c r="E173" i="2"/>
  <c r="T172" i="2"/>
  <c r="S172" i="2"/>
  <c r="R172" i="2"/>
  <c r="P172" i="2"/>
  <c r="O172" i="2"/>
  <c r="N172" i="2"/>
  <c r="L172" i="2"/>
  <c r="K172" i="2"/>
  <c r="J172" i="2"/>
  <c r="H172" i="2"/>
  <c r="E172" i="2"/>
  <c r="U171" i="2"/>
  <c r="T171" i="2"/>
  <c r="R171" i="2"/>
  <c r="Q171" i="2"/>
  <c r="P171" i="2"/>
  <c r="N171" i="2"/>
  <c r="M171" i="2"/>
  <c r="L171" i="2"/>
  <c r="J171" i="2"/>
  <c r="I171" i="2"/>
  <c r="H171" i="2"/>
  <c r="G171" i="2"/>
  <c r="F171" i="2"/>
  <c r="T170" i="2"/>
  <c r="S170" i="2"/>
  <c r="R170" i="2"/>
  <c r="P170" i="2"/>
  <c r="O170" i="2"/>
  <c r="N170" i="2"/>
  <c r="L170" i="2"/>
  <c r="K170" i="2"/>
  <c r="J170" i="2"/>
  <c r="H170" i="2"/>
  <c r="G170" i="2"/>
  <c r="F170" i="2"/>
  <c r="U169" i="2"/>
  <c r="T169" i="2"/>
  <c r="R169" i="2"/>
  <c r="Q169" i="2"/>
  <c r="P169" i="2"/>
  <c r="N169" i="2"/>
  <c r="M169" i="2"/>
  <c r="L169" i="2"/>
  <c r="J169" i="2"/>
  <c r="I169" i="2"/>
  <c r="H169" i="2"/>
  <c r="F169" i="2"/>
  <c r="E169" i="2"/>
  <c r="T168" i="2"/>
  <c r="S168" i="2"/>
  <c r="R168" i="2"/>
  <c r="P168" i="2"/>
  <c r="O168" i="2"/>
  <c r="N168" i="2"/>
  <c r="L168" i="2"/>
  <c r="K168" i="2"/>
  <c r="J168" i="2"/>
  <c r="H168" i="2"/>
  <c r="E168" i="2"/>
  <c r="U167" i="2"/>
  <c r="T167" i="2"/>
  <c r="R167" i="2"/>
  <c r="Q167" i="2"/>
  <c r="P167" i="2"/>
  <c r="N167" i="2"/>
  <c r="M167" i="2"/>
  <c r="L167" i="2"/>
  <c r="J167" i="2"/>
  <c r="I167" i="2"/>
  <c r="H167" i="2"/>
  <c r="G167" i="2"/>
  <c r="T166" i="2"/>
  <c r="S166" i="2"/>
  <c r="R166" i="2"/>
  <c r="P166" i="2"/>
  <c r="O166" i="2"/>
  <c r="N166" i="2"/>
  <c r="L166" i="2"/>
  <c r="K166" i="2"/>
  <c r="J166" i="2"/>
  <c r="H166" i="2"/>
  <c r="G166" i="2"/>
  <c r="F166" i="2"/>
  <c r="U165" i="2"/>
  <c r="T165" i="2"/>
  <c r="R165" i="2"/>
  <c r="Q165" i="2"/>
  <c r="P165" i="2"/>
  <c r="N165" i="2"/>
  <c r="M165" i="2"/>
  <c r="L165" i="2"/>
  <c r="J165" i="2"/>
  <c r="I165" i="2"/>
  <c r="H165" i="2"/>
  <c r="F165" i="2"/>
  <c r="E165" i="2"/>
  <c r="T164" i="2"/>
  <c r="S164" i="2"/>
  <c r="R164" i="2"/>
  <c r="P164" i="2"/>
  <c r="O164" i="2"/>
  <c r="N164" i="2"/>
  <c r="L164" i="2"/>
  <c r="K164" i="2"/>
  <c r="J164" i="2"/>
  <c r="H164" i="2"/>
  <c r="E164" i="2"/>
  <c r="U163" i="2"/>
  <c r="T163" i="2"/>
  <c r="R163" i="2"/>
  <c r="Q163" i="2"/>
  <c r="P163" i="2"/>
  <c r="N163" i="2"/>
  <c r="M163" i="2"/>
  <c r="L163" i="2"/>
  <c r="J163" i="2"/>
  <c r="I163" i="2"/>
  <c r="H163" i="2"/>
  <c r="G163" i="2"/>
  <c r="F163" i="2"/>
  <c r="T162" i="2"/>
  <c r="S162" i="2"/>
  <c r="R162" i="2"/>
  <c r="P162" i="2"/>
  <c r="O162" i="2"/>
  <c r="N162" i="2"/>
  <c r="L162" i="2"/>
  <c r="K162" i="2"/>
  <c r="J162" i="2"/>
  <c r="H162" i="2"/>
  <c r="G162" i="2"/>
  <c r="F162" i="2"/>
  <c r="U161" i="2"/>
  <c r="T161" i="2"/>
  <c r="R161" i="2"/>
  <c r="Q161" i="2"/>
  <c r="P161" i="2"/>
  <c r="N161" i="2"/>
  <c r="M161" i="2"/>
  <c r="L161" i="2"/>
  <c r="J161" i="2"/>
  <c r="I161" i="2"/>
  <c r="H161" i="2"/>
  <c r="F161" i="2"/>
  <c r="E161" i="2"/>
  <c r="T160" i="2"/>
  <c r="S160" i="2"/>
  <c r="R160" i="2"/>
  <c r="P160" i="2"/>
  <c r="O160" i="2"/>
  <c r="N160" i="2"/>
  <c r="L160" i="2"/>
  <c r="K160" i="2"/>
  <c r="J160" i="2"/>
  <c r="H160" i="2"/>
  <c r="E160" i="2"/>
  <c r="U159" i="2"/>
  <c r="T159" i="2"/>
  <c r="R159" i="2"/>
  <c r="Q159" i="2"/>
  <c r="P159" i="2"/>
  <c r="N159" i="2"/>
  <c r="M159" i="2"/>
  <c r="L159" i="2"/>
  <c r="J159" i="2"/>
  <c r="I159" i="2"/>
  <c r="H159" i="2"/>
  <c r="G159" i="2"/>
  <c r="T158" i="2"/>
  <c r="S158" i="2"/>
  <c r="R158" i="2"/>
  <c r="P158" i="2"/>
  <c r="O158" i="2"/>
  <c r="N158" i="2"/>
  <c r="L158" i="2"/>
  <c r="K158" i="2"/>
  <c r="J158" i="2"/>
  <c r="H158" i="2"/>
  <c r="G158" i="2"/>
  <c r="F158" i="2"/>
  <c r="U157" i="2"/>
  <c r="T157" i="2"/>
  <c r="R157" i="2"/>
  <c r="Q157" i="2"/>
  <c r="P157" i="2"/>
  <c r="N157" i="2"/>
  <c r="M157" i="2"/>
  <c r="L157" i="2"/>
  <c r="J157" i="2"/>
  <c r="I157" i="2"/>
  <c r="H157" i="2"/>
  <c r="F157" i="2"/>
  <c r="E157" i="2"/>
  <c r="T156" i="2"/>
  <c r="S156" i="2"/>
  <c r="R156" i="2"/>
  <c r="P156" i="2"/>
  <c r="O156" i="2"/>
  <c r="N156" i="2"/>
  <c r="L156" i="2"/>
  <c r="K156" i="2"/>
  <c r="J156" i="2"/>
  <c r="H156" i="2"/>
  <c r="E156" i="2"/>
  <c r="U155" i="2"/>
  <c r="T155" i="2"/>
  <c r="R155" i="2"/>
  <c r="Q155" i="2"/>
  <c r="P155" i="2"/>
  <c r="N155" i="2"/>
  <c r="M155" i="2"/>
  <c r="L155" i="2"/>
  <c r="J155" i="2"/>
  <c r="I155" i="2"/>
  <c r="H155" i="2"/>
  <c r="G155" i="2"/>
  <c r="T154" i="2"/>
  <c r="S154" i="2"/>
  <c r="R154" i="2"/>
  <c r="P154" i="2"/>
  <c r="O154" i="2"/>
  <c r="N154" i="2"/>
  <c r="L154" i="2"/>
  <c r="K154" i="2"/>
  <c r="J154" i="2"/>
  <c r="H154" i="2"/>
  <c r="G154" i="2"/>
  <c r="F154" i="2"/>
  <c r="U153" i="2"/>
  <c r="T153" i="2"/>
  <c r="R153" i="2"/>
  <c r="Q153" i="2"/>
  <c r="P153" i="2"/>
  <c r="N153" i="2"/>
  <c r="M153" i="2"/>
  <c r="L153" i="2"/>
  <c r="J153" i="2"/>
  <c r="I153" i="2"/>
  <c r="H153" i="2"/>
  <c r="F153" i="2"/>
  <c r="E153" i="2"/>
  <c r="T152" i="2"/>
  <c r="S152" i="2"/>
  <c r="R152" i="2"/>
  <c r="P152" i="2"/>
  <c r="O152" i="2"/>
  <c r="N152" i="2"/>
  <c r="L152" i="2"/>
  <c r="K152" i="2"/>
  <c r="J152" i="2"/>
  <c r="H152" i="2"/>
  <c r="E152" i="2"/>
  <c r="U151" i="2"/>
  <c r="T151" i="2"/>
  <c r="R151" i="2"/>
  <c r="Q151" i="2"/>
  <c r="P151" i="2"/>
  <c r="N151" i="2"/>
  <c r="M151" i="2"/>
  <c r="L151" i="2"/>
  <c r="J151" i="2"/>
  <c r="I151" i="2"/>
  <c r="H151" i="2"/>
  <c r="G151" i="2"/>
  <c r="T150" i="2"/>
  <c r="S150" i="2"/>
  <c r="R150" i="2"/>
  <c r="P150" i="2"/>
  <c r="O150" i="2"/>
  <c r="N150" i="2"/>
  <c r="L150" i="2"/>
  <c r="K150" i="2"/>
  <c r="J150" i="2"/>
  <c r="H150" i="2"/>
  <c r="G150" i="2"/>
  <c r="F150" i="2"/>
  <c r="E150" i="2"/>
  <c r="U149" i="2"/>
  <c r="T149" i="2"/>
  <c r="R149" i="2"/>
  <c r="Q149" i="2"/>
  <c r="P149" i="2"/>
  <c r="N149" i="2"/>
  <c r="M149" i="2"/>
  <c r="L149" i="2"/>
  <c r="J149" i="2"/>
  <c r="I149" i="2"/>
  <c r="H149" i="2"/>
  <c r="F149" i="2"/>
  <c r="E149" i="2"/>
  <c r="T148" i="2"/>
  <c r="S148" i="2"/>
  <c r="R148" i="2"/>
  <c r="P148" i="2"/>
  <c r="O148" i="2"/>
  <c r="N148" i="2"/>
  <c r="L148" i="2"/>
  <c r="K148" i="2"/>
  <c r="J148" i="2"/>
  <c r="H148" i="2"/>
  <c r="G148" i="2"/>
  <c r="E148" i="2"/>
  <c r="U147" i="2"/>
  <c r="T147" i="2"/>
  <c r="R147" i="2"/>
  <c r="Q147" i="2"/>
  <c r="P147" i="2"/>
  <c r="N147" i="2"/>
  <c r="M147" i="2"/>
  <c r="L147" i="2"/>
  <c r="J147" i="2"/>
  <c r="I147" i="2"/>
  <c r="H147" i="2"/>
  <c r="G147" i="2"/>
  <c r="T146" i="2"/>
  <c r="S146" i="2"/>
  <c r="R146" i="2"/>
  <c r="P146" i="2"/>
  <c r="O146" i="2"/>
  <c r="N146" i="2"/>
  <c r="L146" i="2"/>
  <c r="K146" i="2"/>
  <c r="J146" i="2"/>
  <c r="H146" i="2"/>
  <c r="G146" i="2"/>
  <c r="F146" i="2"/>
  <c r="U145" i="2"/>
  <c r="T145" i="2"/>
  <c r="R145" i="2"/>
  <c r="Q145" i="2"/>
  <c r="P145" i="2"/>
  <c r="N145" i="2"/>
  <c r="M145" i="2"/>
  <c r="L145" i="2"/>
  <c r="J145" i="2"/>
  <c r="I145" i="2"/>
  <c r="H145" i="2"/>
  <c r="F145" i="2"/>
  <c r="E145" i="2"/>
  <c r="T144" i="2"/>
  <c r="S144" i="2"/>
  <c r="R144" i="2"/>
  <c r="P144" i="2"/>
  <c r="O144" i="2"/>
  <c r="N144" i="2"/>
  <c r="L144" i="2"/>
  <c r="K144" i="2"/>
  <c r="J144" i="2"/>
  <c r="H144" i="2"/>
  <c r="E144" i="2"/>
  <c r="U143" i="2"/>
  <c r="T143" i="2"/>
  <c r="R143" i="2"/>
  <c r="Q143" i="2"/>
  <c r="P143" i="2"/>
  <c r="N143" i="2"/>
  <c r="M143" i="2"/>
  <c r="L143" i="2"/>
  <c r="J143" i="2"/>
  <c r="I143" i="2"/>
  <c r="H143" i="2"/>
  <c r="G143" i="2"/>
  <c r="T142" i="2"/>
  <c r="S142" i="2"/>
  <c r="R142" i="2"/>
  <c r="P142" i="2"/>
  <c r="O142" i="2"/>
  <c r="N142" i="2"/>
  <c r="L142" i="2"/>
  <c r="K142" i="2"/>
  <c r="J142" i="2"/>
  <c r="H142" i="2"/>
  <c r="G142" i="2"/>
  <c r="F142" i="2"/>
  <c r="U141" i="2"/>
  <c r="T141" i="2"/>
  <c r="R141" i="2"/>
  <c r="Q141" i="2"/>
  <c r="P141" i="2"/>
  <c r="N141" i="2"/>
  <c r="M141" i="2"/>
  <c r="L141" i="2"/>
  <c r="J141" i="2"/>
  <c r="I141" i="2"/>
  <c r="H141" i="2"/>
  <c r="F141" i="2"/>
  <c r="E141" i="2"/>
  <c r="T140" i="2"/>
  <c r="S140" i="2"/>
  <c r="R140" i="2"/>
  <c r="P140" i="2"/>
  <c r="O140" i="2"/>
  <c r="N140" i="2"/>
  <c r="L140" i="2"/>
  <c r="K140" i="2"/>
  <c r="J140" i="2"/>
  <c r="H140" i="2"/>
  <c r="E140" i="2"/>
  <c r="U139" i="2"/>
  <c r="T139" i="2"/>
  <c r="R139" i="2"/>
  <c r="Q139" i="2"/>
  <c r="P139" i="2"/>
  <c r="N139" i="2"/>
  <c r="M139" i="2"/>
  <c r="L139" i="2"/>
  <c r="J139" i="2"/>
  <c r="I139" i="2"/>
  <c r="H139" i="2"/>
  <c r="G139" i="2"/>
  <c r="T138" i="2"/>
  <c r="S138" i="2"/>
  <c r="R138" i="2"/>
  <c r="P138" i="2"/>
  <c r="O138" i="2"/>
  <c r="N138" i="2"/>
  <c r="L138" i="2"/>
  <c r="K138" i="2"/>
  <c r="J138" i="2"/>
  <c r="H138" i="2"/>
  <c r="G138" i="2"/>
  <c r="F138" i="2"/>
  <c r="E138" i="2"/>
  <c r="U137" i="2"/>
  <c r="T137" i="2"/>
  <c r="R137" i="2"/>
  <c r="Q137" i="2"/>
  <c r="P137" i="2"/>
  <c r="N137" i="2"/>
  <c r="M137" i="2"/>
  <c r="L137" i="2"/>
  <c r="J137" i="2"/>
  <c r="I137" i="2"/>
  <c r="H137" i="2"/>
  <c r="F137" i="2"/>
  <c r="E137" i="2"/>
  <c r="T136" i="2"/>
  <c r="S136" i="2"/>
  <c r="R136" i="2"/>
  <c r="P136" i="2"/>
  <c r="O136" i="2"/>
  <c r="N136" i="2"/>
  <c r="L136" i="2"/>
  <c r="K136" i="2"/>
  <c r="J136" i="2"/>
  <c r="H136" i="2"/>
  <c r="G136" i="2"/>
  <c r="E136" i="2"/>
  <c r="U135" i="2"/>
  <c r="T135" i="2"/>
  <c r="R135" i="2"/>
  <c r="Q135" i="2"/>
  <c r="P135" i="2"/>
  <c r="N135" i="2"/>
  <c r="M135" i="2"/>
  <c r="L135" i="2"/>
  <c r="J135" i="2"/>
  <c r="I135" i="2"/>
  <c r="H135" i="2"/>
  <c r="G135" i="2"/>
  <c r="T134" i="2"/>
  <c r="S134" i="2"/>
  <c r="R134" i="2"/>
  <c r="P134" i="2"/>
  <c r="O134" i="2"/>
  <c r="N134" i="2"/>
  <c r="L134" i="2"/>
  <c r="K134" i="2"/>
  <c r="J134" i="2"/>
  <c r="H134" i="2"/>
  <c r="G134" i="2"/>
  <c r="F134" i="2"/>
  <c r="U133" i="2"/>
  <c r="T133" i="2"/>
  <c r="R133" i="2"/>
  <c r="Q133" i="2"/>
  <c r="P133" i="2"/>
  <c r="N133" i="2"/>
  <c r="M133" i="2"/>
  <c r="L133" i="2"/>
  <c r="J133" i="2"/>
  <c r="I133" i="2"/>
  <c r="H133" i="2"/>
  <c r="F133" i="2"/>
  <c r="E133" i="2"/>
  <c r="T132" i="2"/>
  <c r="S132" i="2"/>
  <c r="R132" i="2"/>
  <c r="P132" i="2"/>
  <c r="O132" i="2"/>
  <c r="N132" i="2"/>
  <c r="L132" i="2"/>
  <c r="K132" i="2"/>
  <c r="J132" i="2"/>
  <c r="H132" i="2"/>
  <c r="E132" i="2"/>
  <c r="U131" i="2"/>
  <c r="T131" i="2"/>
  <c r="R131" i="2"/>
  <c r="Q131" i="2"/>
  <c r="P131" i="2"/>
  <c r="N131" i="2"/>
  <c r="M131" i="2"/>
  <c r="L131" i="2"/>
  <c r="J131" i="2"/>
  <c r="I131" i="2"/>
  <c r="H131" i="2"/>
  <c r="G131" i="2"/>
  <c r="T130" i="2"/>
  <c r="S130" i="2"/>
  <c r="R130" i="2"/>
  <c r="P130" i="2"/>
  <c r="O130" i="2"/>
  <c r="N130" i="2"/>
  <c r="L130" i="2"/>
  <c r="K130" i="2"/>
  <c r="J130" i="2"/>
  <c r="H130" i="2"/>
  <c r="G130" i="2"/>
  <c r="F130" i="2"/>
  <c r="U129" i="2"/>
  <c r="T129" i="2"/>
  <c r="R129" i="2"/>
  <c r="Q129" i="2"/>
  <c r="P129" i="2"/>
  <c r="N129" i="2"/>
  <c r="M129" i="2"/>
  <c r="L129" i="2"/>
  <c r="J129" i="2"/>
  <c r="I129" i="2"/>
  <c r="H129" i="2"/>
  <c r="F129" i="2"/>
  <c r="E129" i="2"/>
  <c r="T128" i="2"/>
  <c r="S128" i="2"/>
  <c r="R128" i="2"/>
  <c r="P128" i="2"/>
  <c r="O128" i="2"/>
  <c r="N128" i="2"/>
  <c r="L128" i="2"/>
  <c r="K128" i="2"/>
  <c r="J128" i="2"/>
  <c r="H128" i="2"/>
  <c r="E128" i="2"/>
  <c r="U127" i="2"/>
  <c r="T127" i="2"/>
  <c r="R127" i="2"/>
  <c r="Q127" i="2"/>
  <c r="P127" i="2"/>
  <c r="N127" i="2"/>
  <c r="M127" i="2"/>
  <c r="L127" i="2"/>
  <c r="J127" i="2"/>
  <c r="I127" i="2"/>
  <c r="H127" i="2"/>
  <c r="G127" i="2"/>
  <c r="F127" i="2"/>
  <c r="T126" i="2"/>
  <c r="S126" i="2"/>
  <c r="R126" i="2"/>
  <c r="P126" i="2"/>
  <c r="O126" i="2"/>
  <c r="N126" i="2"/>
  <c r="L126" i="2"/>
  <c r="K126" i="2"/>
  <c r="J126" i="2"/>
  <c r="H126" i="2"/>
  <c r="G126" i="2"/>
  <c r="F126" i="2"/>
  <c r="U125" i="2"/>
  <c r="T125" i="2"/>
  <c r="R125" i="2"/>
  <c r="Q125" i="2"/>
  <c r="P125" i="2"/>
  <c r="N125" i="2"/>
  <c r="M125" i="2"/>
  <c r="L125" i="2"/>
  <c r="J125" i="2"/>
  <c r="I125" i="2"/>
  <c r="H125" i="2"/>
  <c r="F125" i="2"/>
  <c r="E125" i="2"/>
  <c r="T124" i="2"/>
  <c r="S124" i="2"/>
  <c r="R124" i="2"/>
  <c r="P124" i="2"/>
  <c r="O124" i="2"/>
  <c r="N124" i="2"/>
  <c r="L124" i="2"/>
  <c r="K124" i="2"/>
  <c r="J124" i="2"/>
  <c r="H124" i="2"/>
  <c r="E124" i="2"/>
  <c r="U123" i="2"/>
  <c r="R123" i="2"/>
  <c r="Q123" i="2"/>
  <c r="N123" i="2"/>
  <c r="M123" i="2"/>
  <c r="J123" i="2"/>
  <c r="I123" i="2"/>
  <c r="G123" i="2"/>
  <c r="F123" i="2"/>
  <c r="T122" i="2"/>
  <c r="S122" i="2"/>
  <c r="P122" i="2"/>
  <c r="O122" i="2"/>
  <c r="L122" i="2"/>
  <c r="K122" i="2"/>
  <c r="H122" i="2"/>
  <c r="G122" i="2"/>
  <c r="F122" i="2"/>
  <c r="U121" i="2"/>
  <c r="T121" i="2"/>
  <c r="R121" i="2"/>
  <c r="Q121" i="2"/>
  <c r="N121" i="2"/>
  <c r="M121" i="2"/>
  <c r="J121" i="2"/>
  <c r="I121" i="2"/>
  <c r="H121" i="2"/>
  <c r="F121" i="2"/>
  <c r="E121" i="2"/>
  <c r="T120" i="2"/>
  <c r="S120" i="2"/>
  <c r="P120" i="2"/>
  <c r="O120" i="2"/>
  <c r="L120" i="2"/>
  <c r="K120" i="2"/>
  <c r="H120" i="2"/>
  <c r="E120" i="2"/>
  <c r="U119" i="2"/>
  <c r="R119" i="2"/>
  <c r="Q119" i="2"/>
  <c r="N119" i="2"/>
  <c r="M119" i="2"/>
  <c r="J119" i="2"/>
  <c r="I119" i="2"/>
  <c r="G119" i="2"/>
  <c r="T118" i="2"/>
  <c r="S118" i="2"/>
  <c r="P118" i="2"/>
  <c r="O118" i="2"/>
  <c r="L118" i="2"/>
  <c r="K118" i="2"/>
  <c r="H118" i="2"/>
  <c r="G118" i="2"/>
  <c r="F118" i="2"/>
  <c r="U117" i="2"/>
  <c r="R117" i="2"/>
  <c r="Q117" i="2"/>
  <c r="P117" i="2"/>
  <c r="N117" i="2"/>
  <c r="M117" i="2"/>
  <c r="L117" i="2"/>
  <c r="J117" i="2"/>
  <c r="I117" i="2"/>
  <c r="F117" i="2"/>
  <c r="E117" i="2"/>
  <c r="T116" i="2"/>
  <c r="S116" i="2"/>
  <c r="R116" i="2"/>
  <c r="P116" i="2"/>
  <c r="O116" i="2"/>
  <c r="N116" i="2"/>
  <c r="L116" i="2"/>
  <c r="K116" i="2"/>
  <c r="J116" i="2"/>
  <c r="H116" i="2"/>
  <c r="E116" i="2"/>
  <c r="U115" i="2"/>
  <c r="R115" i="2"/>
  <c r="Q115" i="2"/>
  <c r="N115" i="2"/>
  <c r="M115" i="2"/>
  <c r="J115" i="2"/>
  <c r="I115" i="2"/>
  <c r="G115" i="2"/>
  <c r="F115" i="2"/>
  <c r="T114" i="2"/>
  <c r="S114" i="2"/>
  <c r="P114" i="2"/>
  <c r="O114" i="2"/>
  <c r="L114" i="2"/>
  <c r="K114" i="2"/>
  <c r="H114" i="2"/>
  <c r="G114" i="2"/>
  <c r="F114" i="2"/>
  <c r="U113" i="2"/>
  <c r="T113" i="2"/>
  <c r="R113" i="2"/>
  <c r="Q113" i="2"/>
  <c r="N113" i="2"/>
  <c r="M113" i="2"/>
  <c r="J113" i="2"/>
  <c r="I113" i="2"/>
  <c r="H113" i="2"/>
  <c r="F113" i="2"/>
  <c r="E113" i="2"/>
  <c r="T112" i="2"/>
  <c r="S112" i="2"/>
  <c r="P112" i="2"/>
  <c r="O112" i="2"/>
  <c r="L112" i="2"/>
  <c r="K112" i="2"/>
  <c r="H112" i="2"/>
  <c r="E112" i="2"/>
  <c r="U111" i="2"/>
  <c r="S111" i="2"/>
  <c r="R111" i="2"/>
  <c r="Q111" i="2"/>
  <c r="N111" i="2"/>
  <c r="M111" i="2"/>
  <c r="J111" i="2"/>
  <c r="I111" i="2"/>
  <c r="G111" i="2"/>
  <c r="T110" i="2"/>
  <c r="S110" i="2"/>
  <c r="P110" i="2"/>
  <c r="O110" i="2"/>
  <c r="L110" i="2"/>
  <c r="K110" i="2"/>
  <c r="H110" i="2"/>
  <c r="G110" i="2"/>
  <c r="F110" i="2"/>
  <c r="U109" i="2"/>
  <c r="R109" i="2"/>
  <c r="Q109" i="2"/>
  <c r="P109" i="2"/>
  <c r="N109" i="2"/>
  <c r="M109" i="2"/>
  <c r="L109" i="2"/>
  <c r="J109" i="2"/>
  <c r="I109" i="2"/>
  <c r="F109" i="2"/>
  <c r="E109" i="2"/>
  <c r="T108" i="2"/>
  <c r="S108" i="2"/>
  <c r="R108" i="2"/>
  <c r="P108" i="2"/>
  <c r="O108" i="2"/>
  <c r="N108" i="2"/>
  <c r="L108" i="2"/>
  <c r="K108" i="2"/>
  <c r="J108" i="2"/>
  <c r="H108" i="2"/>
  <c r="E108" i="2"/>
  <c r="U107" i="2"/>
  <c r="R107" i="2"/>
  <c r="Q107" i="2"/>
  <c r="N107" i="2"/>
  <c r="M107" i="2"/>
  <c r="K107" i="2"/>
  <c r="J107" i="2"/>
  <c r="I107" i="2"/>
  <c r="G107" i="2"/>
  <c r="F107" i="2"/>
  <c r="T106" i="2"/>
  <c r="S106" i="2"/>
  <c r="P106" i="2"/>
  <c r="O106" i="2"/>
  <c r="L106" i="2"/>
  <c r="K106" i="2"/>
  <c r="H106" i="2"/>
  <c r="G106" i="2"/>
  <c r="F106" i="2"/>
  <c r="U105" i="2"/>
  <c r="T105" i="2"/>
  <c r="R105" i="2"/>
  <c r="Q105" i="2"/>
  <c r="N105" i="2"/>
  <c r="M105" i="2"/>
  <c r="J105" i="2"/>
  <c r="I105" i="2"/>
  <c r="H105" i="2"/>
  <c r="F105" i="2"/>
  <c r="E105" i="2"/>
  <c r="T104" i="2"/>
  <c r="S104" i="2"/>
  <c r="P104" i="2"/>
  <c r="O104" i="2"/>
  <c r="L104" i="2"/>
  <c r="K104" i="2"/>
  <c r="H104" i="2"/>
  <c r="E104" i="2"/>
  <c r="U103" i="2"/>
  <c r="R103" i="2"/>
  <c r="Q103" i="2"/>
  <c r="N103" i="2"/>
  <c r="M103" i="2"/>
  <c r="J103" i="2"/>
  <c r="I103" i="2"/>
  <c r="G103" i="2"/>
  <c r="T102" i="2"/>
  <c r="S102" i="2"/>
  <c r="P102" i="2"/>
  <c r="O102" i="2"/>
  <c r="L102" i="2"/>
  <c r="K102" i="2"/>
  <c r="H102" i="2"/>
  <c r="G102" i="2"/>
  <c r="F102" i="2"/>
  <c r="U101" i="2"/>
  <c r="R101" i="2"/>
  <c r="Q101" i="2"/>
  <c r="P101" i="2"/>
  <c r="N101" i="2"/>
  <c r="M101" i="2"/>
  <c r="L101" i="2"/>
  <c r="J101" i="2"/>
  <c r="I101" i="2"/>
  <c r="F101" i="2"/>
  <c r="E101" i="2"/>
  <c r="T100" i="2"/>
  <c r="S100" i="2"/>
  <c r="R100" i="2"/>
  <c r="P100" i="2"/>
  <c r="O100" i="2"/>
  <c r="N100" i="2"/>
  <c r="L100" i="2"/>
  <c r="K100" i="2"/>
  <c r="J100" i="2"/>
  <c r="H100" i="2"/>
  <c r="E100" i="2"/>
  <c r="U99" i="2"/>
  <c r="R99" i="2"/>
  <c r="Q99" i="2"/>
  <c r="N99" i="2"/>
  <c r="M99" i="2"/>
  <c r="J99" i="2"/>
  <c r="I99" i="2"/>
  <c r="G99" i="2"/>
  <c r="F99" i="2"/>
  <c r="T98" i="2"/>
  <c r="S98" i="2"/>
  <c r="P98" i="2"/>
  <c r="O98" i="2"/>
  <c r="L98" i="2"/>
  <c r="K98" i="2"/>
  <c r="H98" i="2"/>
  <c r="G98" i="2"/>
  <c r="F98" i="2"/>
  <c r="U97" i="2"/>
  <c r="T97" i="2"/>
  <c r="R97" i="2"/>
  <c r="Q97" i="2"/>
  <c r="N97" i="2"/>
  <c r="M97" i="2"/>
  <c r="J97" i="2"/>
  <c r="I97" i="2"/>
  <c r="H97" i="2"/>
  <c r="F97" i="2"/>
  <c r="E97" i="2"/>
  <c r="T96" i="2"/>
  <c r="S96" i="2"/>
  <c r="P96" i="2"/>
  <c r="O96" i="2"/>
  <c r="L96" i="2"/>
  <c r="K96" i="2"/>
  <c r="H96" i="2"/>
  <c r="E96" i="2"/>
  <c r="S95" i="2"/>
  <c r="R95" i="2"/>
  <c r="O95" i="2"/>
  <c r="N95" i="2"/>
  <c r="K95" i="2"/>
  <c r="J95" i="2"/>
  <c r="G95" i="2"/>
  <c r="F95" i="2"/>
  <c r="U94" i="2"/>
  <c r="T94" i="2"/>
  <c r="R94" i="2"/>
  <c r="Q94" i="2"/>
  <c r="P94" i="2"/>
  <c r="N94" i="2"/>
  <c r="M94" i="2"/>
  <c r="L94" i="2"/>
  <c r="J94" i="2"/>
  <c r="I94" i="2"/>
  <c r="H94" i="2"/>
  <c r="F94" i="2"/>
  <c r="E94" i="2"/>
  <c r="U93" i="2"/>
  <c r="T93" i="2"/>
  <c r="Q93" i="2"/>
  <c r="P93" i="2"/>
  <c r="M93" i="2"/>
  <c r="L93" i="2"/>
  <c r="I93" i="2"/>
  <c r="H93" i="2"/>
  <c r="E93" i="2"/>
  <c r="T92" i="2"/>
  <c r="S92" i="2"/>
  <c r="R92" i="2"/>
  <c r="P92" i="2"/>
  <c r="O92" i="2"/>
  <c r="N92" i="2"/>
  <c r="L92" i="2"/>
  <c r="K92" i="2"/>
  <c r="J92" i="2"/>
  <c r="H92" i="2"/>
  <c r="G92" i="2"/>
  <c r="F92" i="2"/>
  <c r="S91" i="2"/>
  <c r="R91" i="2"/>
  <c r="O91" i="2"/>
  <c r="N91" i="2"/>
  <c r="K91" i="2"/>
  <c r="J91" i="2"/>
  <c r="G91" i="2"/>
  <c r="F91" i="2"/>
  <c r="U90" i="2"/>
  <c r="T90" i="2"/>
  <c r="R90" i="2"/>
  <c r="Q90" i="2"/>
  <c r="P90" i="2"/>
  <c r="N90" i="2"/>
  <c r="M90" i="2"/>
  <c r="L90" i="2"/>
  <c r="J90" i="2"/>
  <c r="I90" i="2"/>
  <c r="H90" i="2"/>
  <c r="F90" i="2"/>
  <c r="E90" i="2"/>
  <c r="U89" i="2"/>
  <c r="T89" i="2"/>
  <c r="Q89" i="2"/>
  <c r="P89" i="2"/>
  <c r="M89" i="2"/>
  <c r="L89" i="2"/>
  <c r="I89" i="2"/>
  <c r="H89" i="2"/>
  <c r="E89" i="2"/>
  <c r="T88" i="2"/>
  <c r="S88" i="2"/>
  <c r="R88" i="2"/>
  <c r="P88" i="2"/>
  <c r="O88" i="2"/>
  <c r="N88" i="2"/>
  <c r="L88" i="2"/>
  <c r="K88" i="2"/>
  <c r="J88" i="2"/>
  <c r="H88" i="2"/>
  <c r="G88" i="2"/>
  <c r="F88" i="2"/>
  <c r="S87" i="2"/>
  <c r="R87" i="2"/>
  <c r="O87" i="2"/>
  <c r="N87" i="2"/>
  <c r="K87" i="2"/>
  <c r="J87" i="2"/>
  <c r="G87" i="2"/>
  <c r="F87" i="2"/>
  <c r="U86" i="2"/>
  <c r="R86" i="2"/>
  <c r="Q86" i="2"/>
  <c r="N86" i="2"/>
  <c r="M86" i="2"/>
  <c r="J86" i="2"/>
  <c r="I86" i="2"/>
  <c r="F86" i="2"/>
  <c r="E86" i="2"/>
  <c r="U85" i="2"/>
  <c r="T85" i="2"/>
  <c r="Q85" i="2"/>
  <c r="P85" i="2"/>
  <c r="M85" i="2"/>
  <c r="L85" i="2"/>
  <c r="I85" i="2"/>
  <c r="H85" i="2"/>
  <c r="E85" i="2"/>
  <c r="T84" i="2"/>
  <c r="S84" i="2"/>
  <c r="P84" i="2"/>
  <c r="O84" i="2"/>
  <c r="L84" i="2"/>
  <c r="K84" i="2"/>
  <c r="H84" i="2"/>
  <c r="G84" i="2"/>
  <c r="S83" i="2"/>
  <c r="R83" i="2"/>
  <c r="O83" i="2"/>
  <c r="N83" i="2"/>
  <c r="K83" i="2"/>
  <c r="J83" i="2"/>
  <c r="G83" i="2"/>
  <c r="F83" i="2"/>
  <c r="U82" i="2"/>
  <c r="R82" i="2"/>
  <c r="Q82" i="2"/>
  <c r="N82" i="2"/>
  <c r="M82" i="2"/>
  <c r="J82" i="2"/>
  <c r="I82" i="2"/>
  <c r="F82" i="2"/>
  <c r="E82" i="2"/>
  <c r="U81" i="2"/>
  <c r="T81" i="2"/>
  <c r="Q81" i="2"/>
  <c r="P81" i="2"/>
  <c r="M81" i="2"/>
  <c r="L81" i="2"/>
  <c r="I81" i="2"/>
  <c r="H81" i="2"/>
  <c r="E81" i="2"/>
  <c r="T80" i="2"/>
  <c r="S80" i="2"/>
  <c r="P80" i="2"/>
  <c r="O80" i="2"/>
  <c r="L80" i="2"/>
  <c r="K80" i="2"/>
  <c r="H80" i="2"/>
  <c r="G80" i="2"/>
  <c r="S79" i="2"/>
  <c r="R79" i="2"/>
  <c r="O79" i="2"/>
  <c r="N79" i="2"/>
  <c r="K79" i="2"/>
  <c r="J79" i="2"/>
  <c r="G79" i="2"/>
  <c r="F79" i="2"/>
  <c r="U78" i="2"/>
  <c r="T78" i="2"/>
  <c r="R78" i="2"/>
  <c r="Q78" i="2"/>
  <c r="P78" i="2"/>
  <c r="N78" i="2"/>
  <c r="M78" i="2"/>
  <c r="L78" i="2"/>
  <c r="J78" i="2"/>
  <c r="I78" i="2"/>
  <c r="H78" i="2"/>
  <c r="F78" i="2"/>
  <c r="E78" i="2"/>
  <c r="U77" i="2"/>
  <c r="T77" i="2"/>
  <c r="Q77" i="2"/>
  <c r="P77" i="2"/>
  <c r="O77" i="2"/>
  <c r="M77" i="2"/>
  <c r="L77" i="2"/>
  <c r="K77" i="2"/>
  <c r="I77" i="2"/>
  <c r="H77" i="2"/>
  <c r="G77" i="2"/>
  <c r="F77" i="2"/>
  <c r="E77" i="2"/>
  <c r="T76" i="2"/>
  <c r="S76" i="2"/>
  <c r="R76" i="2"/>
  <c r="P76" i="2"/>
  <c r="O76" i="2"/>
  <c r="L76" i="2"/>
  <c r="K76" i="2"/>
  <c r="H76" i="2"/>
  <c r="F76" i="2"/>
  <c r="E76" i="2"/>
  <c r="S75" i="2"/>
  <c r="R75" i="2"/>
  <c r="O75" i="2"/>
  <c r="N75" i="2"/>
  <c r="M75" i="2"/>
  <c r="K75" i="2"/>
  <c r="J75" i="2"/>
  <c r="G75" i="2"/>
  <c r="E75" i="2"/>
  <c r="U74" i="2"/>
  <c r="R74" i="2"/>
  <c r="Q74" i="2"/>
  <c r="N74" i="2"/>
  <c r="M74" i="2"/>
  <c r="J74" i="2"/>
  <c r="I74" i="2"/>
  <c r="G74" i="2"/>
  <c r="U73" i="2"/>
  <c r="T73" i="2"/>
  <c r="Q73" i="2"/>
  <c r="P73" i="2"/>
  <c r="O73" i="2"/>
  <c r="M73" i="2"/>
  <c r="L73" i="2"/>
  <c r="I73" i="2"/>
  <c r="H73" i="2"/>
  <c r="G73" i="2"/>
  <c r="F73" i="2"/>
  <c r="E73" i="2"/>
  <c r="T72" i="2"/>
  <c r="S72" i="2"/>
  <c r="P72" i="2"/>
  <c r="O72" i="2"/>
  <c r="L72" i="2"/>
  <c r="K72" i="2"/>
  <c r="H72" i="2"/>
  <c r="F72" i="2"/>
  <c r="E72" i="2"/>
  <c r="S71" i="2"/>
  <c r="R71" i="2"/>
  <c r="O71" i="2"/>
  <c r="N71" i="2"/>
  <c r="K71" i="2"/>
  <c r="J71" i="2"/>
  <c r="E71" i="2"/>
  <c r="U70" i="2"/>
  <c r="R70" i="2"/>
  <c r="Q70" i="2"/>
  <c r="N70" i="2"/>
  <c r="M70" i="2"/>
  <c r="J70" i="2"/>
  <c r="I70" i="2"/>
  <c r="G70" i="2"/>
  <c r="U69" i="2"/>
  <c r="T69" i="2"/>
  <c r="S69" i="2"/>
  <c r="Q69" i="2"/>
  <c r="P69" i="2"/>
  <c r="M69" i="2"/>
  <c r="L69" i="2"/>
  <c r="I69" i="2"/>
  <c r="H69" i="2"/>
  <c r="G69" i="2"/>
  <c r="F69" i="2"/>
  <c r="T68" i="2"/>
  <c r="S68" i="2"/>
  <c r="P68" i="2"/>
  <c r="O68" i="2"/>
  <c r="L68" i="2"/>
  <c r="K68" i="2"/>
  <c r="J68" i="2"/>
  <c r="H68" i="2"/>
  <c r="F68" i="2"/>
  <c r="E68" i="2"/>
  <c r="U67" i="2"/>
  <c r="S67" i="2"/>
  <c r="R67" i="2"/>
  <c r="O67" i="2"/>
  <c r="N67" i="2"/>
  <c r="K67" i="2"/>
  <c r="J67" i="2"/>
  <c r="I67" i="2"/>
  <c r="E67" i="2"/>
  <c r="U66" i="2"/>
  <c r="R66" i="2"/>
  <c r="Q66" i="2"/>
  <c r="N66" i="2"/>
  <c r="M66" i="2"/>
  <c r="J66" i="2"/>
  <c r="I66" i="2"/>
  <c r="G66" i="2"/>
  <c r="F66" i="2"/>
  <c r="U65" i="2"/>
  <c r="T65" i="2"/>
  <c r="Q65" i="2"/>
  <c r="P65" i="2"/>
  <c r="M65" i="2"/>
  <c r="L65" i="2"/>
  <c r="I65" i="2"/>
  <c r="H65" i="2"/>
  <c r="G65" i="2"/>
  <c r="F65" i="2"/>
  <c r="T64" i="2"/>
  <c r="S64" i="2"/>
  <c r="P64" i="2"/>
  <c r="O64" i="2"/>
  <c r="N64" i="2"/>
  <c r="L64" i="2"/>
  <c r="K64" i="2"/>
  <c r="H64" i="2"/>
  <c r="F64" i="2"/>
  <c r="E64" i="2"/>
  <c r="S63" i="2"/>
  <c r="R63" i="2"/>
  <c r="O63" i="2"/>
  <c r="N63" i="2"/>
  <c r="K63" i="2"/>
  <c r="J63" i="2"/>
  <c r="E63" i="2"/>
  <c r="U62" i="2"/>
  <c r="R62" i="2"/>
  <c r="Q62" i="2"/>
  <c r="N62" i="2"/>
  <c r="M62" i="2"/>
  <c r="J62" i="2"/>
  <c r="I62" i="2"/>
  <c r="H62" i="2"/>
  <c r="G62" i="2"/>
  <c r="U61" i="2"/>
  <c r="T61" i="2"/>
  <c r="Q61" i="2"/>
  <c r="P61" i="2"/>
  <c r="M61" i="2"/>
  <c r="L61" i="2"/>
  <c r="I61" i="2"/>
  <c r="H61" i="2"/>
  <c r="G61" i="2"/>
  <c r="F61" i="2"/>
  <c r="T60" i="2"/>
  <c r="S60" i="2"/>
  <c r="P60" i="2"/>
  <c r="O60" i="2"/>
  <c r="L60" i="2"/>
  <c r="K60" i="2"/>
  <c r="H60" i="2"/>
  <c r="F60" i="2"/>
  <c r="E60" i="2"/>
  <c r="S59" i="2"/>
  <c r="R59" i="2"/>
  <c r="Q59" i="2"/>
  <c r="O59" i="2"/>
  <c r="N59" i="2"/>
  <c r="K59" i="2"/>
  <c r="J59" i="2"/>
  <c r="E59" i="2"/>
  <c r="U58" i="2"/>
  <c r="R58" i="2"/>
  <c r="Q58" i="2"/>
  <c r="N58" i="2"/>
  <c r="M58" i="2"/>
  <c r="L58" i="2"/>
  <c r="J58" i="2"/>
  <c r="I58" i="2"/>
  <c r="H58" i="2"/>
  <c r="G58" i="2"/>
  <c r="U57" i="2"/>
  <c r="T57" i="2"/>
  <c r="S57" i="2"/>
  <c r="Q57" i="2"/>
  <c r="P57" i="2"/>
  <c r="M57" i="2"/>
  <c r="L57" i="2"/>
  <c r="I57" i="2"/>
  <c r="H57" i="2"/>
  <c r="G57" i="2"/>
  <c r="F57" i="2"/>
  <c r="T56" i="2"/>
  <c r="S56" i="2"/>
  <c r="P56" i="2"/>
  <c r="O56" i="2"/>
  <c r="L56" i="2"/>
  <c r="K56" i="2"/>
  <c r="J56" i="2"/>
  <c r="H56" i="2"/>
  <c r="F56" i="2"/>
  <c r="E56" i="2"/>
  <c r="U55" i="2"/>
  <c r="S55" i="2"/>
  <c r="R55" i="2"/>
  <c r="Q55" i="2"/>
  <c r="O55" i="2"/>
  <c r="N55" i="2"/>
  <c r="K55" i="2"/>
  <c r="J55" i="2"/>
  <c r="E55" i="2"/>
  <c r="U54" i="2"/>
  <c r="R54" i="2"/>
  <c r="Q54" i="2"/>
  <c r="P54" i="2"/>
  <c r="N54" i="2"/>
  <c r="M54" i="2"/>
  <c r="L54" i="2"/>
  <c r="J54" i="2"/>
  <c r="I54" i="2"/>
  <c r="G54" i="2"/>
  <c r="F54" i="2"/>
  <c r="U53" i="2"/>
  <c r="T53" i="2"/>
  <c r="Q53" i="2"/>
  <c r="P53" i="2"/>
  <c r="M53" i="2"/>
  <c r="L53" i="2"/>
  <c r="I53" i="2"/>
  <c r="H53" i="2"/>
  <c r="G53" i="2"/>
  <c r="F53" i="2"/>
  <c r="U52" i="2"/>
  <c r="T52" i="2"/>
  <c r="Q52" i="2"/>
  <c r="P52" i="2"/>
  <c r="O52" i="2"/>
  <c r="M52" i="2"/>
  <c r="L52" i="2"/>
  <c r="I52" i="2"/>
  <c r="H52" i="2"/>
  <c r="T51" i="2"/>
  <c r="S51" i="2"/>
  <c r="R51" i="2"/>
  <c r="P51" i="2"/>
  <c r="O51" i="2"/>
  <c r="L51" i="2"/>
  <c r="K51" i="2"/>
  <c r="H51" i="2"/>
  <c r="S50" i="2"/>
  <c r="R50" i="2"/>
  <c r="O50" i="2"/>
  <c r="N50" i="2"/>
  <c r="K50" i="2"/>
  <c r="J50" i="2"/>
  <c r="U49" i="2"/>
  <c r="T49" i="2"/>
  <c r="R49" i="2"/>
  <c r="Q49" i="2"/>
  <c r="N49" i="2"/>
  <c r="M49" i="2"/>
  <c r="J49" i="2"/>
  <c r="I49" i="2"/>
  <c r="U48" i="2"/>
  <c r="T48" i="2"/>
  <c r="Q48" i="2"/>
  <c r="P48" i="2"/>
  <c r="M48" i="2"/>
  <c r="L48" i="2"/>
  <c r="I48" i="2"/>
  <c r="H48" i="2"/>
  <c r="T47" i="2"/>
  <c r="S47" i="2"/>
  <c r="P47" i="2"/>
  <c r="O47" i="2"/>
  <c r="L47" i="2"/>
  <c r="K47" i="2"/>
  <c r="H47" i="2"/>
  <c r="S46" i="2"/>
  <c r="R46" i="2"/>
  <c r="O46" i="2"/>
  <c r="N46" i="2"/>
  <c r="M46" i="2"/>
  <c r="K46" i="2"/>
  <c r="J46" i="2"/>
  <c r="I46" i="2"/>
  <c r="U45" i="2"/>
  <c r="R45" i="2"/>
  <c r="Q45" i="2"/>
  <c r="P45" i="2"/>
  <c r="N45" i="2"/>
  <c r="M45" i="2"/>
  <c r="J45" i="2"/>
  <c r="I45" i="2"/>
  <c r="U44" i="2"/>
  <c r="T44" i="2"/>
  <c r="Q44" i="2"/>
  <c r="P44" i="2"/>
  <c r="M44" i="2"/>
  <c r="L44" i="2"/>
  <c r="K44" i="2"/>
  <c r="I44" i="2"/>
  <c r="H44" i="2"/>
  <c r="T43" i="2"/>
  <c r="S43" i="2"/>
  <c r="P43" i="2"/>
  <c r="O43" i="2"/>
  <c r="N43" i="2"/>
  <c r="L43" i="2"/>
  <c r="K43" i="2"/>
  <c r="H43" i="2"/>
  <c r="U42" i="2"/>
  <c r="S42" i="2"/>
  <c r="R42" i="2"/>
  <c r="Q42" i="2"/>
  <c r="O42" i="2"/>
  <c r="N42" i="2"/>
  <c r="K42" i="2"/>
  <c r="J42" i="2"/>
  <c r="U41" i="2"/>
  <c r="R41" i="2"/>
  <c r="Q41" i="2"/>
  <c r="N41" i="2"/>
  <c r="M41" i="2"/>
  <c r="J41" i="2"/>
  <c r="I41" i="2"/>
  <c r="H41" i="2"/>
  <c r="U40" i="2"/>
  <c r="T40" i="2"/>
  <c r="S40" i="2"/>
  <c r="Q40" i="2"/>
  <c r="P40" i="2"/>
  <c r="O40" i="2"/>
  <c r="M40" i="2"/>
  <c r="L40" i="2"/>
  <c r="K40" i="2"/>
  <c r="I40" i="2"/>
  <c r="H40" i="2"/>
  <c r="T39" i="2"/>
  <c r="S39" i="2"/>
  <c r="P39" i="2"/>
  <c r="O39" i="2"/>
  <c r="N39" i="2"/>
  <c r="L39" i="2"/>
  <c r="K39" i="2"/>
  <c r="H39" i="2"/>
  <c r="S38" i="2"/>
  <c r="R38" i="2"/>
  <c r="O38" i="2"/>
  <c r="N38" i="2"/>
  <c r="K38" i="2"/>
  <c r="J38" i="2"/>
  <c r="U37" i="2"/>
  <c r="R37" i="2"/>
  <c r="Q37" i="2"/>
  <c r="P37" i="2"/>
  <c r="N37" i="2"/>
  <c r="M37" i="2"/>
  <c r="J37" i="2"/>
  <c r="I37" i="2"/>
  <c r="S36" i="2"/>
  <c r="R36" i="2"/>
  <c r="O36" i="2"/>
  <c r="N36" i="2"/>
  <c r="K36" i="2"/>
  <c r="J36" i="2"/>
  <c r="I36" i="2"/>
  <c r="G36" i="2"/>
  <c r="F36" i="2"/>
  <c r="U35" i="2"/>
  <c r="T35" i="2"/>
  <c r="R35" i="2"/>
  <c r="Q35" i="2"/>
  <c r="P35" i="2"/>
  <c r="N35" i="2"/>
  <c r="M35" i="2"/>
  <c r="J35" i="2"/>
  <c r="I35" i="2"/>
  <c r="F35" i="2"/>
  <c r="E35" i="2"/>
  <c r="U34" i="2"/>
  <c r="T34" i="2"/>
  <c r="Q34" i="2"/>
  <c r="P34" i="2"/>
  <c r="M34" i="2"/>
  <c r="L34" i="2"/>
  <c r="K34" i="2"/>
  <c r="I34" i="2"/>
  <c r="H34" i="2"/>
  <c r="G34" i="2"/>
  <c r="E34" i="2"/>
  <c r="T33" i="2"/>
  <c r="S33" i="2"/>
  <c r="R33" i="2"/>
  <c r="P33" i="2"/>
  <c r="O33" i="2"/>
  <c r="L33" i="2"/>
  <c r="K33" i="2"/>
  <c r="H33" i="2"/>
  <c r="G33" i="2"/>
  <c r="S32" i="2"/>
  <c r="R32" i="2"/>
  <c r="O32" i="2"/>
  <c r="N32" i="2"/>
  <c r="M32" i="2"/>
  <c r="K32" i="2"/>
  <c r="J32" i="2"/>
  <c r="G32" i="2"/>
  <c r="F32" i="2"/>
  <c r="U31" i="2"/>
  <c r="R31" i="2"/>
  <c r="Q31" i="2"/>
  <c r="N31" i="2"/>
  <c r="M31" i="2"/>
  <c r="J31" i="2"/>
  <c r="I31" i="2"/>
  <c r="F31" i="2"/>
  <c r="E31" i="2"/>
  <c r="U30" i="2"/>
  <c r="T30" i="2"/>
  <c r="Q30" i="2"/>
  <c r="P30" i="2"/>
  <c r="O30" i="2"/>
  <c r="M30" i="2"/>
  <c r="L30" i="2"/>
  <c r="K30" i="2"/>
  <c r="I30" i="2"/>
  <c r="H30" i="2"/>
  <c r="E30" i="2"/>
  <c r="T29" i="2"/>
  <c r="S29" i="2"/>
  <c r="P29" i="2"/>
  <c r="O29" i="2"/>
  <c r="L29" i="2"/>
  <c r="K29" i="2"/>
  <c r="H29" i="2"/>
  <c r="G29" i="2"/>
  <c r="F29" i="2"/>
  <c r="S28" i="2"/>
  <c r="R28" i="2"/>
  <c r="Q28" i="2"/>
  <c r="O28" i="2"/>
  <c r="N28" i="2"/>
  <c r="K28" i="2"/>
  <c r="J28" i="2"/>
  <c r="G28" i="2"/>
  <c r="F28" i="2"/>
  <c r="E28" i="2"/>
  <c r="U27" i="2"/>
  <c r="R27" i="2"/>
  <c r="Q27" i="2"/>
  <c r="N27" i="2"/>
  <c r="M27" i="2"/>
  <c r="J27" i="2"/>
  <c r="I27" i="2"/>
  <c r="H27" i="2"/>
  <c r="F27" i="2"/>
  <c r="E27" i="2"/>
  <c r="U26" i="2"/>
  <c r="T26" i="2"/>
  <c r="Q26" i="2"/>
  <c r="P26" i="2"/>
  <c r="O26" i="2"/>
  <c r="M26" i="2"/>
  <c r="L26" i="2"/>
  <c r="I26" i="2"/>
  <c r="H26" i="2"/>
  <c r="E26" i="2"/>
  <c r="T25" i="2"/>
  <c r="S25" i="2"/>
  <c r="P25" i="2"/>
  <c r="O25" i="2"/>
  <c r="L25" i="2"/>
  <c r="K25" i="2"/>
  <c r="H25" i="2"/>
  <c r="G25" i="2"/>
  <c r="U24" i="2"/>
  <c r="S24" i="2"/>
  <c r="R24" i="2"/>
  <c r="O24" i="2"/>
  <c r="N24" i="2"/>
  <c r="K24" i="2"/>
  <c r="J24" i="2"/>
  <c r="I24" i="2"/>
  <c r="G24" i="2"/>
  <c r="F24" i="2"/>
  <c r="U23" i="2"/>
  <c r="T23" i="2"/>
  <c r="R23" i="2"/>
  <c r="Q23" i="2"/>
  <c r="P23" i="2"/>
  <c r="N23" i="2"/>
  <c r="M23" i="2"/>
  <c r="J23" i="2"/>
  <c r="I23" i="2"/>
  <c r="F23" i="2"/>
  <c r="E23" i="2"/>
  <c r="U22" i="2"/>
  <c r="T22" i="2"/>
  <c r="Q22" i="2"/>
  <c r="P22" i="2"/>
  <c r="M22" i="2"/>
  <c r="L22" i="2"/>
  <c r="K22" i="2"/>
  <c r="I22" i="2"/>
  <c r="H22" i="2"/>
  <c r="G22" i="2"/>
  <c r="E22" i="2"/>
  <c r="S21" i="2"/>
  <c r="R21" i="2"/>
  <c r="Q21" i="2"/>
  <c r="O21" i="2"/>
  <c r="N21" i="2"/>
  <c r="M21" i="2"/>
  <c r="K21" i="2"/>
  <c r="J21" i="2"/>
  <c r="G21" i="2"/>
  <c r="F21" i="2"/>
  <c r="U20" i="2"/>
  <c r="T20" i="2"/>
  <c r="R20" i="2"/>
  <c r="Q20" i="2"/>
  <c r="N20" i="2"/>
  <c r="M20" i="2"/>
  <c r="J20" i="2"/>
  <c r="I20" i="2"/>
  <c r="H20" i="2"/>
  <c r="F20" i="2"/>
  <c r="E20" i="2"/>
  <c r="U19" i="2"/>
  <c r="T19" i="2"/>
  <c r="Q19" i="2"/>
  <c r="P19" i="2"/>
  <c r="O19" i="2"/>
  <c r="M19" i="2"/>
  <c r="L19" i="2"/>
  <c r="K19" i="2"/>
  <c r="I19" i="2"/>
  <c r="H19" i="2"/>
  <c r="E19" i="2"/>
  <c r="T18" i="2"/>
  <c r="S18" i="2"/>
  <c r="P18" i="2"/>
  <c r="O18" i="2"/>
  <c r="L18" i="2"/>
  <c r="K18" i="2"/>
  <c r="J18" i="2"/>
  <c r="H18" i="2"/>
  <c r="G18" i="2"/>
  <c r="F18" i="2"/>
  <c r="U17" i="2"/>
  <c r="S17" i="2"/>
  <c r="R17" i="2"/>
  <c r="Q17" i="2"/>
  <c r="O17" i="2"/>
  <c r="N17" i="2"/>
  <c r="K17" i="2"/>
  <c r="J17" i="2"/>
  <c r="G17" i="2"/>
  <c r="F17" i="2"/>
  <c r="E17" i="2"/>
  <c r="U16" i="2"/>
  <c r="R16" i="2"/>
  <c r="Q16" i="2"/>
  <c r="N16" i="2"/>
  <c r="M16" i="2"/>
  <c r="L16" i="2"/>
  <c r="J16" i="2"/>
  <c r="I16" i="2"/>
  <c r="H16" i="2"/>
  <c r="F16" i="2"/>
  <c r="E16" i="2"/>
  <c r="U15" i="2"/>
  <c r="T15" i="2"/>
  <c r="S15" i="2"/>
  <c r="Q15" i="2"/>
  <c r="P15" i="2"/>
  <c r="O15" i="2"/>
  <c r="M15" i="2"/>
  <c r="L15" i="2"/>
  <c r="I15" i="2"/>
  <c r="H15" i="2"/>
  <c r="E15" i="2"/>
  <c r="T14" i="2"/>
  <c r="S14" i="2"/>
  <c r="P14" i="2"/>
  <c r="O14" i="2"/>
  <c r="N14" i="2"/>
  <c r="L14" i="2"/>
  <c r="K14" i="2"/>
  <c r="J14" i="2"/>
  <c r="H14" i="2"/>
  <c r="G14" i="2"/>
  <c r="G13" i="2"/>
  <c r="F13" i="2"/>
  <c r="E13" i="2"/>
  <c r="D13" i="2"/>
  <c r="G12" i="2"/>
  <c r="F12" i="2"/>
  <c r="E12" i="2"/>
  <c r="D12" i="2"/>
  <c r="G11" i="2"/>
  <c r="F11" i="2"/>
  <c r="E11" i="2"/>
  <c r="D11" i="2"/>
  <c r="G10" i="2"/>
  <c r="F10" i="2"/>
  <c r="E10" i="2"/>
  <c r="D10" i="2"/>
  <c r="G9" i="2"/>
  <c r="F9" i="2"/>
  <c r="E9" i="2"/>
  <c r="D9" i="2"/>
  <c r="G8" i="2"/>
  <c r="F8" i="2"/>
  <c r="E8" i="2"/>
  <c r="D8" i="2"/>
  <c r="G7" i="2"/>
  <c r="F7" i="2"/>
  <c r="E7" i="2"/>
  <c r="D7" i="2"/>
  <c r="G6" i="2"/>
  <c r="F6" i="2"/>
  <c r="E6" i="2"/>
  <c r="D6" i="2"/>
  <c r="G5" i="2"/>
  <c r="F5" i="2"/>
  <c r="E5" i="2"/>
  <c r="D5" i="2"/>
  <c r="G4" i="2"/>
  <c r="F4" i="2"/>
  <c r="E4" i="2"/>
  <c r="D4" i="2"/>
  <c r="G3" i="2"/>
  <c r="F3" i="2"/>
  <c r="E3" i="2"/>
  <c r="D3" i="2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Q401" i="1"/>
  <c r="O401" i="1"/>
  <c r="N401" i="1"/>
  <c r="M401" i="1"/>
  <c r="K401" i="1"/>
  <c r="J401" i="1"/>
  <c r="I401" i="1"/>
  <c r="G401" i="1"/>
  <c r="F401" i="1"/>
  <c r="E401" i="1"/>
  <c r="Q400" i="1"/>
  <c r="P400" i="1"/>
  <c r="N400" i="1"/>
  <c r="M400" i="1"/>
  <c r="L400" i="1"/>
  <c r="J400" i="1"/>
  <c r="I400" i="1"/>
  <c r="H400" i="1"/>
  <c r="F400" i="1"/>
  <c r="E400" i="1"/>
  <c r="D400" i="1"/>
  <c r="Q399" i="1"/>
  <c r="P399" i="1"/>
  <c r="O399" i="1"/>
  <c r="M399" i="1"/>
  <c r="L399" i="1"/>
  <c r="K399" i="1"/>
  <c r="I399" i="1"/>
  <c r="H399" i="1"/>
  <c r="G399" i="1"/>
  <c r="E399" i="1"/>
  <c r="D399" i="1"/>
  <c r="P398" i="1"/>
  <c r="O398" i="1"/>
  <c r="N398" i="1"/>
  <c r="L398" i="1"/>
  <c r="K398" i="1"/>
  <c r="J398" i="1"/>
  <c r="H398" i="1"/>
  <c r="G398" i="1"/>
  <c r="F398" i="1"/>
  <c r="D398" i="1"/>
  <c r="Q397" i="1"/>
  <c r="O397" i="1"/>
  <c r="N397" i="1"/>
  <c r="M397" i="1"/>
  <c r="K397" i="1"/>
  <c r="J397" i="1"/>
  <c r="I397" i="1"/>
  <c r="G397" i="1"/>
  <c r="F397" i="1"/>
  <c r="E397" i="1"/>
  <c r="Q396" i="1"/>
  <c r="P396" i="1"/>
  <c r="N396" i="1"/>
  <c r="M396" i="1"/>
  <c r="L396" i="1"/>
  <c r="J396" i="1"/>
  <c r="I396" i="1"/>
  <c r="H396" i="1"/>
  <c r="F396" i="1"/>
  <c r="E396" i="1"/>
  <c r="D396" i="1"/>
  <c r="Q395" i="1"/>
  <c r="P395" i="1"/>
  <c r="O395" i="1"/>
  <c r="M395" i="1"/>
  <c r="L395" i="1"/>
  <c r="K395" i="1"/>
  <c r="I395" i="1"/>
  <c r="H395" i="1"/>
  <c r="G395" i="1"/>
  <c r="E395" i="1"/>
  <c r="D395" i="1"/>
  <c r="P394" i="1"/>
  <c r="O394" i="1"/>
  <c r="N394" i="1"/>
  <c r="L394" i="1"/>
  <c r="K394" i="1"/>
  <c r="J394" i="1"/>
  <c r="H394" i="1"/>
  <c r="G394" i="1"/>
  <c r="F394" i="1"/>
  <c r="D394" i="1"/>
  <c r="Q393" i="1"/>
  <c r="O393" i="1"/>
  <c r="N393" i="1"/>
  <c r="M393" i="1"/>
  <c r="K393" i="1"/>
  <c r="J393" i="1"/>
  <c r="I393" i="1"/>
  <c r="G393" i="1"/>
  <c r="F393" i="1"/>
  <c r="E393" i="1"/>
  <c r="Q392" i="1"/>
  <c r="P392" i="1"/>
  <c r="N392" i="1"/>
  <c r="M392" i="1"/>
  <c r="L392" i="1"/>
  <c r="J392" i="1"/>
  <c r="I392" i="1"/>
  <c r="H392" i="1"/>
  <c r="F392" i="1"/>
  <c r="E392" i="1"/>
  <c r="D392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P390" i="1"/>
  <c r="O390" i="1"/>
  <c r="N390" i="1"/>
  <c r="L390" i="1"/>
  <c r="K390" i="1"/>
  <c r="J390" i="1"/>
  <c r="H390" i="1"/>
  <c r="G390" i="1"/>
  <c r="F390" i="1"/>
  <c r="D390" i="1"/>
  <c r="Q389" i="1"/>
  <c r="O389" i="1"/>
  <c r="N389" i="1"/>
  <c r="M389" i="1"/>
  <c r="K389" i="1"/>
  <c r="J389" i="1"/>
  <c r="I389" i="1"/>
  <c r="G389" i="1"/>
  <c r="F389" i="1"/>
  <c r="E389" i="1"/>
  <c r="Q388" i="1"/>
  <c r="P388" i="1"/>
  <c r="N388" i="1"/>
  <c r="M388" i="1"/>
  <c r="L388" i="1"/>
  <c r="J388" i="1"/>
  <c r="I388" i="1"/>
  <c r="H388" i="1"/>
  <c r="F388" i="1"/>
  <c r="E388" i="1"/>
  <c r="D388" i="1"/>
  <c r="Q387" i="1"/>
  <c r="P387" i="1"/>
  <c r="O387" i="1"/>
  <c r="M387" i="1"/>
  <c r="L387" i="1"/>
  <c r="K387" i="1"/>
  <c r="I387" i="1"/>
  <c r="H387" i="1"/>
  <c r="G387" i="1"/>
  <c r="E387" i="1"/>
  <c r="D387" i="1"/>
  <c r="P386" i="1"/>
  <c r="O386" i="1"/>
  <c r="N386" i="1"/>
  <c r="L386" i="1"/>
  <c r="K386" i="1"/>
  <c r="J386" i="1"/>
  <c r="H386" i="1"/>
  <c r="G386" i="1"/>
  <c r="F386" i="1"/>
  <c r="D386" i="1"/>
  <c r="Q385" i="1"/>
  <c r="O385" i="1"/>
  <c r="N385" i="1"/>
  <c r="M385" i="1"/>
  <c r="K385" i="1"/>
  <c r="J385" i="1"/>
  <c r="I385" i="1"/>
  <c r="G385" i="1"/>
  <c r="F385" i="1"/>
  <c r="E385" i="1"/>
  <c r="Q384" i="1"/>
  <c r="P384" i="1"/>
  <c r="N384" i="1"/>
  <c r="M384" i="1"/>
  <c r="L384" i="1"/>
  <c r="J384" i="1"/>
  <c r="I384" i="1"/>
  <c r="H384" i="1"/>
  <c r="F384" i="1"/>
  <c r="E384" i="1"/>
  <c r="D384" i="1"/>
  <c r="Q383" i="1"/>
  <c r="P383" i="1"/>
  <c r="O383" i="1"/>
  <c r="M383" i="1"/>
  <c r="L383" i="1"/>
  <c r="K383" i="1"/>
  <c r="I383" i="1"/>
  <c r="H383" i="1"/>
  <c r="G383" i="1"/>
  <c r="E383" i="1"/>
  <c r="D383" i="1"/>
  <c r="P382" i="1"/>
  <c r="O382" i="1"/>
  <c r="N382" i="1"/>
  <c r="L382" i="1"/>
  <c r="K382" i="1"/>
  <c r="J382" i="1"/>
  <c r="H382" i="1"/>
  <c r="G382" i="1"/>
  <c r="F382" i="1"/>
  <c r="D382" i="1"/>
  <c r="Q381" i="1"/>
  <c r="O381" i="1"/>
  <c r="N381" i="1"/>
  <c r="M381" i="1"/>
  <c r="K381" i="1"/>
  <c r="J381" i="1"/>
  <c r="I381" i="1"/>
  <c r="G381" i="1"/>
  <c r="F381" i="1"/>
  <c r="E381" i="1"/>
  <c r="Q380" i="1"/>
  <c r="P380" i="1"/>
  <c r="N380" i="1"/>
  <c r="M380" i="1"/>
  <c r="L380" i="1"/>
  <c r="J380" i="1"/>
  <c r="I380" i="1"/>
  <c r="H380" i="1"/>
  <c r="F380" i="1"/>
  <c r="E380" i="1"/>
  <c r="D380" i="1"/>
  <c r="Q379" i="1"/>
  <c r="P379" i="1"/>
  <c r="O379" i="1"/>
  <c r="M379" i="1"/>
  <c r="L379" i="1"/>
  <c r="K379" i="1"/>
  <c r="I379" i="1"/>
  <c r="H379" i="1"/>
  <c r="G379" i="1"/>
  <c r="E379" i="1"/>
  <c r="D379" i="1"/>
  <c r="P378" i="1"/>
  <c r="O378" i="1"/>
  <c r="N378" i="1"/>
  <c r="L378" i="1"/>
  <c r="K378" i="1"/>
  <c r="J378" i="1"/>
  <c r="H378" i="1"/>
  <c r="G378" i="1"/>
  <c r="F378" i="1"/>
  <c r="D378" i="1"/>
  <c r="Q377" i="1"/>
  <c r="O377" i="1"/>
  <c r="N377" i="1"/>
  <c r="M377" i="1"/>
  <c r="K377" i="1"/>
  <c r="J377" i="1"/>
  <c r="I377" i="1"/>
  <c r="G377" i="1"/>
  <c r="F377" i="1"/>
  <c r="E377" i="1"/>
  <c r="P376" i="1"/>
  <c r="O376" i="1"/>
  <c r="N376" i="1"/>
  <c r="L376" i="1"/>
  <c r="K376" i="1"/>
  <c r="J376" i="1"/>
  <c r="H376" i="1"/>
  <c r="G376" i="1"/>
  <c r="F376" i="1"/>
  <c r="D376" i="1"/>
  <c r="Q375" i="1"/>
  <c r="O375" i="1"/>
  <c r="N375" i="1"/>
  <c r="M375" i="1"/>
  <c r="K375" i="1"/>
  <c r="J375" i="1"/>
  <c r="I375" i="1"/>
  <c r="G375" i="1"/>
  <c r="F375" i="1"/>
  <c r="E375" i="1"/>
  <c r="Q374" i="1"/>
  <c r="P374" i="1"/>
  <c r="N374" i="1"/>
  <c r="M374" i="1"/>
  <c r="L374" i="1"/>
  <c r="J374" i="1"/>
  <c r="I374" i="1"/>
  <c r="H374" i="1"/>
  <c r="F374" i="1"/>
  <c r="E374" i="1"/>
  <c r="D374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P372" i="1"/>
  <c r="O372" i="1"/>
  <c r="N372" i="1"/>
  <c r="L372" i="1"/>
  <c r="K372" i="1"/>
  <c r="J372" i="1"/>
  <c r="H372" i="1"/>
  <c r="G372" i="1"/>
  <c r="F372" i="1"/>
  <c r="D372" i="1"/>
  <c r="Q371" i="1"/>
  <c r="O371" i="1"/>
  <c r="N371" i="1"/>
  <c r="M371" i="1"/>
  <c r="K371" i="1"/>
  <c r="J371" i="1"/>
  <c r="I371" i="1"/>
  <c r="G371" i="1"/>
  <c r="F371" i="1"/>
  <c r="E371" i="1"/>
  <c r="Q370" i="1"/>
  <c r="P370" i="1"/>
  <c r="N370" i="1"/>
  <c r="M370" i="1"/>
  <c r="L370" i="1"/>
  <c r="J370" i="1"/>
  <c r="I370" i="1"/>
  <c r="H370" i="1"/>
  <c r="F370" i="1"/>
  <c r="E370" i="1"/>
  <c r="D370" i="1"/>
  <c r="Q369" i="1"/>
  <c r="P369" i="1"/>
  <c r="O369" i="1"/>
  <c r="M369" i="1"/>
  <c r="L369" i="1"/>
  <c r="K369" i="1"/>
  <c r="I369" i="1"/>
  <c r="H369" i="1"/>
  <c r="G369" i="1"/>
  <c r="E369" i="1"/>
  <c r="D369" i="1"/>
  <c r="P368" i="1"/>
  <c r="O368" i="1"/>
  <c r="N368" i="1"/>
  <c r="L368" i="1"/>
  <c r="K368" i="1"/>
  <c r="J368" i="1"/>
  <c r="H368" i="1"/>
  <c r="G368" i="1"/>
  <c r="F368" i="1"/>
  <c r="D368" i="1"/>
  <c r="Q367" i="1"/>
  <c r="O367" i="1"/>
  <c r="N367" i="1"/>
  <c r="M367" i="1"/>
  <c r="K367" i="1"/>
  <c r="J367" i="1"/>
  <c r="I367" i="1"/>
  <c r="G367" i="1"/>
  <c r="F367" i="1"/>
  <c r="E367" i="1"/>
  <c r="Q366" i="1"/>
  <c r="P366" i="1"/>
  <c r="N366" i="1"/>
  <c r="M366" i="1"/>
  <c r="L366" i="1"/>
  <c r="J366" i="1"/>
  <c r="I366" i="1"/>
  <c r="H366" i="1"/>
  <c r="F366" i="1"/>
  <c r="E366" i="1"/>
  <c r="D366" i="1"/>
  <c r="Q365" i="1"/>
  <c r="P365" i="1"/>
  <c r="O365" i="1"/>
  <c r="M365" i="1"/>
  <c r="L365" i="1"/>
  <c r="K365" i="1"/>
  <c r="I365" i="1"/>
  <c r="H365" i="1"/>
  <c r="G365" i="1"/>
  <c r="E365" i="1"/>
  <c r="D365" i="1"/>
  <c r="P364" i="1"/>
  <c r="O364" i="1"/>
  <c r="N364" i="1"/>
  <c r="L364" i="1"/>
  <c r="K364" i="1"/>
  <c r="J364" i="1"/>
  <c r="H364" i="1"/>
  <c r="G364" i="1"/>
  <c r="F364" i="1"/>
  <c r="D364" i="1"/>
  <c r="Q363" i="1"/>
  <c r="O363" i="1"/>
  <c r="N363" i="1"/>
  <c r="M363" i="1"/>
  <c r="K363" i="1"/>
  <c r="J363" i="1"/>
  <c r="I363" i="1"/>
  <c r="G363" i="1"/>
  <c r="F363" i="1"/>
  <c r="E363" i="1"/>
  <c r="Q362" i="1"/>
  <c r="P362" i="1"/>
  <c r="N362" i="1"/>
  <c r="M362" i="1"/>
  <c r="L362" i="1"/>
  <c r="J362" i="1"/>
  <c r="I362" i="1"/>
  <c r="H362" i="1"/>
  <c r="F362" i="1"/>
  <c r="E362" i="1"/>
  <c r="D362" i="1"/>
  <c r="Q361" i="1"/>
  <c r="P361" i="1"/>
  <c r="O361" i="1"/>
  <c r="M361" i="1"/>
  <c r="L361" i="1"/>
  <c r="K361" i="1"/>
  <c r="I361" i="1"/>
  <c r="H361" i="1"/>
  <c r="G361" i="1"/>
  <c r="E361" i="1"/>
  <c r="D361" i="1"/>
  <c r="P360" i="1"/>
  <c r="O360" i="1"/>
  <c r="N360" i="1"/>
  <c r="L360" i="1"/>
  <c r="K360" i="1"/>
  <c r="J360" i="1"/>
  <c r="H360" i="1"/>
  <c r="G360" i="1"/>
  <c r="F360" i="1"/>
  <c r="D360" i="1"/>
  <c r="Q359" i="1"/>
  <c r="O359" i="1"/>
  <c r="N359" i="1"/>
  <c r="M359" i="1"/>
  <c r="K359" i="1"/>
  <c r="J359" i="1"/>
  <c r="I359" i="1"/>
  <c r="G359" i="1"/>
  <c r="F359" i="1"/>
  <c r="E359" i="1"/>
  <c r="P358" i="1"/>
  <c r="O358" i="1"/>
  <c r="N358" i="1"/>
  <c r="L358" i="1"/>
  <c r="K358" i="1"/>
  <c r="J358" i="1"/>
  <c r="H358" i="1"/>
  <c r="G358" i="1"/>
  <c r="F358" i="1"/>
  <c r="D358" i="1"/>
  <c r="Q357" i="1"/>
  <c r="O357" i="1"/>
  <c r="N357" i="1"/>
  <c r="M357" i="1"/>
  <c r="K357" i="1"/>
  <c r="J357" i="1"/>
  <c r="I357" i="1"/>
  <c r="G357" i="1"/>
  <c r="F357" i="1"/>
  <c r="E357" i="1"/>
  <c r="Q356" i="1"/>
  <c r="P356" i="1"/>
  <c r="N356" i="1"/>
  <c r="M356" i="1"/>
  <c r="L356" i="1"/>
  <c r="J356" i="1"/>
  <c r="I356" i="1"/>
  <c r="H356" i="1"/>
  <c r="F356" i="1"/>
  <c r="E356" i="1"/>
  <c r="D356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P354" i="1"/>
  <c r="O354" i="1"/>
  <c r="N354" i="1"/>
  <c r="L354" i="1"/>
  <c r="K354" i="1"/>
  <c r="J354" i="1"/>
  <c r="H354" i="1"/>
  <c r="G354" i="1"/>
  <c r="F354" i="1"/>
  <c r="D354" i="1"/>
  <c r="Q353" i="1"/>
  <c r="O353" i="1"/>
  <c r="N353" i="1"/>
  <c r="M353" i="1"/>
  <c r="K353" i="1"/>
  <c r="J353" i="1"/>
  <c r="I353" i="1"/>
  <c r="G353" i="1"/>
  <c r="F353" i="1"/>
  <c r="E353" i="1"/>
  <c r="Q352" i="1"/>
  <c r="P352" i="1"/>
  <c r="N352" i="1"/>
  <c r="M352" i="1"/>
  <c r="L352" i="1"/>
  <c r="J352" i="1"/>
  <c r="I352" i="1"/>
  <c r="H352" i="1"/>
  <c r="F352" i="1"/>
  <c r="E352" i="1"/>
  <c r="D352" i="1"/>
  <c r="Q351" i="1"/>
  <c r="P351" i="1"/>
  <c r="O351" i="1"/>
  <c r="M351" i="1"/>
  <c r="L351" i="1"/>
  <c r="K351" i="1"/>
  <c r="I351" i="1"/>
  <c r="H351" i="1"/>
  <c r="G351" i="1"/>
  <c r="E351" i="1"/>
  <c r="D351" i="1"/>
  <c r="P350" i="1"/>
  <c r="O350" i="1"/>
  <c r="N350" i="1"/>
  <c r="L350" i="1"/>
  <c r="K350" i="1"/>
  <c r="J350" i="1"/>
  <c r="H350" i="1"/>
  <c r="G350" i="1"/>
  <c r="F350" i="1"/>
  <c r="D350" i="1"/>
  <c r="Q349" i="1"/>
  <c r="O349" i="1"/>
  <c r="N349" i="1"/>
  <c r="M349" i="1"/>
  <c r="K349" i="1"/>
  <c r="J349" i="1"/>
  <c r="I349" i="1"/>
  <c r="G349" i="1"/>
  <c r="F349" i="1"/>
  <c r="E349" i="1"/>
  <c r="Q348" i="1"/>
  <c r="P348" i="1"/>
  <c r="N348" i="1"/>
  <c r="M348" i="1"/>
  <c r="L348" i="1"/>
  <c r="J348" i="1"/>
  <c r="I348" i="1"/>
  <c r="H348" i="1"/>
  <c r="F348" i="1"/>
  <c r="E348" i="1"/>
  <c r="D348" i="1"/>
  <c r="Q347" i="1"/>
  <c r="P347" i="1"/>
  <c r="O347" i="1"/>
  <c r="M347" i="1"/>
  <c r="L347" i="1"/>
  <c r="K347" i="1"/>
  <c r="I347" i="1"/>
  <c r="H347" i="1"/>
  <c r="G347" i="1"/>
  <c r="E347" i="1"/>
  <c r="D347" i="1"/>
  <c r="P346" i="1"/>
  <c r="O346" i="1"/>
  <c r="N346" i="1"/>
  <c r="L346" i="1"/>
  <c r="K346" i="1"/>
  <c r="J346" i="1"/>
  <c r="H346" i="1"/>
  <c r="G346" i="1"/>
  <c r="F346" i="1"/>
  <c r="D346" i="1"/>
  <c r="Q345" i="1"/>
  <c r="O345" i="1"/>
  <c r="N345" i="1"/>
  <c r="M345" i="1"/>
  <c r="K345" i="1"/>
  <c r="J345" i="1"/>
  <c r="I345" i="1"/>
  <c r="G345" i="1"/>
  <c r="F345" i="1"/>
  <c r="E345" i="1"/>
  <c r="Q344" i="1"/>
  <c r="P344" i="1"/>
  <c r="N344" i="1"/>
  <c r="M344" i="1"/>
  <c r="L344" i="1"/>
  <c r="J344" i="1"/>
  <c r="I344" i="1"/>
  <c r="H344" i="1"/>
  <c r="F344" i="1"/>
  <c r="E344" i="1"/>
  <c r="D344" i="1"/>
  <c r="Q343" i="1"/>
  <c r="P343" i="1"/>
  <c r="O343" i="1"/>
  <c r="M343" i="1"/>
  <c r="L343" i="1"/>
  <c r="K343" i="1"/>
  <c r="I343" i="1"/>
  <c r="H343" i="1"/>
  <c r="G343" i="1"/>
  <c r="E343" i="1"/>
  <c r="D343" i="1"/>
  <c r="P342" i="1"/>
  <c r="O342" i="1"/>
  <c r="N342" i="1"/>
  <c r="L342" i="1"/>
  <c r="K342" i="1"/>
  <c r="J342" i="1"/>
  <c r="H342" i="1"/>
  <c r="G342" i="1"/>
  <c r="F342" i="1"/>
  <c r="D342" i="1"/>
  <c r="Q341" i="1"/>
  <c r="O341" i="1"/>
  <c r="N341" i="1"/>
  <c r="M341" i="1"/>
  <c r="K341" i="1"/>
  <c r="J341" i="1"/>
  <c r="I341" i="1"/>
  <c r="G341" i="1"/>
  <c r="F341" i="1"/>
  <c r="E341" i="1"/>
  <c r="Q340" i="1"/>
  <c r="P340" i="1"/>
  <c r="N340" i="1"/>
  <c r="M340" i="1"/>
  <c r="L340" i="1"/>
  <c r="J340" i="1"/>
  <c r="I340" i="1"/>
  <c r="H340" i="1"/>
  <c r="F340" i="1"/>
  <c r="E340" i="1"/>
  <c r="D340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P338" i="1"/>
  <c r="O338" i="1"/>
  <c r="N338" i="1"/>
  <c r="L338" i="1"/>
  <c r="K338" i="1"/>
  <c r="J338" i="1"/>
  <c r="H338" i="1"/>
  <c r="G338" i="1"/>
  <c r="F338" i="1"/>
  <c r="D338" i="1"/>
  <c r="Q337" i="1"/>
  <c r="O337" i="1"/>
  <c r="N337" i="1"/>
  <c r="M337" i="1"/>
  <c r="K337" i="1"/>
  <c r="J337" i="1"/>
  <c r="I337" i="1"/>
  <c r="G337" i="1"/>
  <c r="F337" i="1"/>
  <c r="E337" i="1"/>
  <c r="Q336" i="1"/>
  <c r="P336" i="1"/>
  <c r="N336" i="1"/>
  <c r="M336" i="1"/>
  <c r="L336" i="1"/>
  <c r="J336" i="1"/>
  <c r="I336" i="1"/>
  <c r="H336" i="1"/>
  <c r="F336" i="1"/>
  <c r="E336" i="1"/>
  <c r="D336" i="1"/>
  <c r="Q335" i="1"/>
  <c r="P335" i="1"/>
  <c r="O335" i="1"/>
  <c r="M335" i="1"/>
  <c r="L335" i="1"/>
  <c r="K335" i="1"/>
  <c r="I335" i="1"/>
  <c r="H335" i="1"/>
  <c r="G335" i="1"/>
  <c r="E335" i="1"/>
  <c r="D335" i="1"/>
  <c r="P334" i="1"/>
  <c r="O334" i="1"/>
  <c r="N334" i="1"/>
  <c r="L334" i="1"/>
  <c r="K334" i="1"/>
  <c r="J334" i="1"/>
  <c r="H334" i="1"/>
  <c r="G334" i="1"/>
  <c r="F334" i="1"/>
  <c r="D334" i="1"/>
  <c r="Q333" i="1"/>
  <c r="O333" i="1"/>
  <c r="N333" i="1"/>
  <c r="M333" i="1"/>
  <c r="K333" i="1"/>
  <c r="J333" i="1"/>
  <c r="I333" i="1"/>
  <c r="G333" i="1"/>
  <c r="F333" i="1"/>
  <c r="E333" i="1"/>
  <c r="Q332" i="1"/>
  <c r="P332" i="1"/>
  <c r="N332" i="1"/>
  <c r="M332" i="1"/>
  <c r="L332" i="1"/>
  <c r="J332" i="1"/>
  <c r="I332" i="1"/>
  <c r="H332" i="1"/>
  <c r="F332" i="1"/>
  <c r="E332" i="1"/>
  <c r="D332" i="1"/>
  <c r="Q331" i="1"/>
  <c r="P331" i="1"/>
  <c r="O331" i="1"/>
  <c r="M331" i="1"/>
  <c r="L331" i="1"/>
  <c r="K331" i="1"/>
  <c r="I331" i="1"/>
  <c r="H331" i="1"/>
  <c r="G331" i="1"/>
  <c r="E331" i="1"/>
  <c r="D331" i="1"/>
  <c r="P330" i="1"/>
  <c r="O330" i="1"/>
  <c r="N330" i="1"/>
  <c r="L330" i="1"/>
  <c r="K330" i="1"/>
  <c r="J330" i="1"/>
  <c r="H330" i="1"/>
  <c r="G330" i="1"/>
  <c r="F330" i="1"/>
  <c r="D330" i="1"/>
  <c r="Q329" i="1"/>
  <c r="O329" i="1"/>
  <c r="N329" i="1"/>
  <c r="M329" i="1"/>
  <c r="K329" i="1"/>
  <c r="J329" i="1"/>
  <c r="I329" i="1"/>
  <c r="G329" i="1"/>
  <c r="F329" i="1"/>
  <c r="E329" i="1"/>
  <c r="Q328" i="1"/>
  <c r="P328" i="1"/>
  <c r="N328" i="1"/>
  <c r="M328" i="1"/>
  <c r="L328" i="1"/>
  <c r="J328" i="1"/>
  <c r="I328" i="1"/>
  <c r="H328" i="1"/>
  <c r="F328" i="1"/>
  <c r="E328" i="1"/>
  <c r="D328" i="1"/>
  <c r="Q327" i="1"/>
  <c r="P327" i="1"/>
  <c r="O327" i="1"/>
  <c r="M327" i="1"/>
  <c r="L327" i="1"/>
  <c r="K327" i="1"/>
  <c r="I327" i="1"/>
  <c r="H327" i="1"/>
  <c r="G327" i="1"/>
  <c r="E327" i="1"/>
  <c r="D327" i="1"/>
  <c r="P326" i="1"/>
  <c r="O326" i="1"/>
  <c r="N326" i="1"/>
  <c r="L326" i="1"/>
  <c r="K326" i="1"/>
  <c r="J326" i="1"/>
  <c r="H326" i="1"/>
  <c r="G326" i="1"/>
  <c r="F326" i="1"/>
  <c r="D326" i="1"/>
  <c r="Q325" i="1"/>
  <c r="O325" i="1"/>
  <c r="N325" i="1"/>
  <c r="M325" i="1"/>
  <c r="K325" i="1"/>
  <c r="J325" i="1"/>
  <c r="I325" i="1"/>
  <c r="G325" i="1"/>
  <c r="F325" i="1"/>
  <c r="E325" i="1"/>
  <c r="Q324" i="1"/>
  <c r="P324" i="1"/>
  <c r="N324" i="1"/>
  <c r="M324" i="1"/>
  <c r="L324" i="1"/>
  <c r="J324" i="1"/>
  <c r="I324" i="1"/>
  <c r="H324" i="1"/>
  <c r="F324" i="1"/>
  <c r="E324" i="1"/>
  <c r="D324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P322" i="1"/>
  <c r="O322" i="1"/>
  <c r="N322" i="1"/>
  <c r="L322" i="1"/>
  <c r="K322" i="1"/>
  <c r="J322" i="1"/>
  <c r="H322" i="1"/>
  <c r="G322" i="1"/>
  <c r="F322" i="1"/>
  <c r="D322" i="1"/>
  <c r="Q321" i="1"/>
  <c r="O321" i="1"/>
  <c r="N321" i="1"/>
  <c r="M321" i="1"/>
  <c r="K321" i="1"/>
  <c r="J321" i="1"/>
  <c r="I321" i="1"/>
  <c r="G321" i="1"/>
  <c r="F321" i="1"/>
  <c r="E321" i="1"/>
  <c r="P320" i="1"/>
  <c r="O320" i="1"/>
  <c r="N320" i="1"/>
  <c r="L320" i="1"/>
  <c r="K320" i="1"/>
  <c r="J320" i="1"/>
  <c r="H320" i="1"/>
  <c r="G320" i="1"/>
  <c r="F320" i="1"/>
  <c r="D320" i="1"/>
  <c r="C320" i="1"/>
  <c r="Q319" i="1"/>
  <c r="O319" i="1"/>
  <c r="N319" i="1"/>
  <c r="M319" i="1"/>
  <c r="K319" i="1"/>
  <c r="J319" i="1"/>
  <c r="I319" i="1"/>
  <c r="G319" i="1"/>
  <c r="F319" i="1"/>
  <c r="E319" i="1"/>
  <c r="C319" i="1"/>
  <c r="Q318" i="1"/>
  <c r="P318" i="1"/>
  <c r="N318" i="1"/>
  <c r="M318" i="1"/>
  <c r="L318" i="1"/>
  <c r="J318" i="1"/>
  <c r="I318" i="1"/>
  <c r="H318" i="1"/>
  <c r="F318" i="1"/>
  <c r="E318" i="1"/>
  <c r="D318" i="1"/>
  <c r="Q317" i="1"/>
  <c r="P317" i="1"/>
  <c r="O317" i="1"/>
  <c r="M317" i="1"/>
  <c r="L317" i="1"/>
  <c r="K317" i="1"/>
  <c r="I317" i="1"/>
  <c r="H317" i="1"/>
  <c r="G317" i="1"/>
  <c r="E317" i="1"/>
  <c r="D317" i="1"/>
  <c r="C317" i="1"/>
  <c r="P316" i="1"/>
  <c r="O316" i="1"/>
  <c r="N316" i="1"/>
  <c r="L316" i="1"/>
  <c r="K316" i="1"/>
  <c r="J316" i="1"/>
  <c r="H316" i="1"/>
  <c r="G316" i="1"/>
  <c r="F316" i="1"/>
  <c r="D316" i="1"/>
  <c r="C316" i="1"/>
  <c r="Q315" i="1"/>
  <c r="O315" i="1"/>
  <c r="N315" i="1"/>
  <c r="M315" i="1"/>
  <c r="K315" i="1"/>
  <c r="J315" i="1"/>
  <c r="I315" i="1"/>
  <c r="G315" i="1"/>
  <c r="F315" i="1"/>
  <c r="E315" i="1"/>
  <c r="C315" i="1"/>
  <c r="Q314" i="1"/>
  <c r="P314" i="1"/>
  <c r="N314" i="1"/>
  <c r="M314" i="1"/>
  <c r="L314" i="1"/>
  <c r="J314" i="1"/>
  <c r="I314" i="1"/>
  <c r="H314" i="1"/>
  <c r="F314" i="1"/>
  <c r="E314" i="1"/>
  <c r="D314" i="1"/>
  <c r="Q313" i="1"/>
  <c r="P313" i="1"/>
  <c r="O313" i="1"/>
  <c r="M313" i="1"/>
  <c r="L313" i="1"/>
  <c r="K313" i="1"/>
  <c r="I313" i="1"/>
  <c r="H313" i="1"/>
  <c r="G313" i="1"/>
  <c r="E313" i="1"/>
  <c r="D313" i="1"/>
  <c r="C313" i="1"/>
  <c r="P312" i="1"/>
  <c r="O312" i="1"/>
  <c r="N312" i="1"/>
  <c r="L312" i="1"/>
  <c r="K312" i="1"/>
  <c r="J312" i="1"/>
  <c r="H312" i="1"/>
  <c r="G312" i="1"/>
  <c r="F312" i="1"/>
  <c r="D312" i="1"/>
  <c r="C312" i="1"/>
  <c r="Q311" i="1"/>
  <c r="O311" i="1"/>
  <c r="N311" i="1"/>
  <c r="M311" i="1"/>
  <c r="K311" i="1"/>
  <c r="J311" i="1"/>
  <c r="I311" i="1"/>
  <c r="G311" i="1"/>
  <c r="F311" i="1"/>
  <c r="E311" i="1"/>
  <c r="C311" i="1"/>
  <c r="Q310" i="1"/>
  <c r="P310" i="1"/>
  <c r="N310" i="1"/>
  <c r="M310" i="1"/>
  <c r="L310" i="1"/>
  <c r="J310" i="1"/>
  <c r="I310" i="1"/>
  <c r="H310" i="1"/>
  <c r="F310" i="1"/>
  <c r="E310" i="1"/>
  <c r="D310" i="1"/>
  <c r="Q309" i="1"/>
  <c r="P309" i="1"/>
  <c r="O309" i="1"/>
  <c r="M309" i="1"/>
  <c r="L309" i="1"/>
  <c r="K309" i="1"/>
  <c r="I309" i="1"/>
  <c r="H309" i="1"/>
  <c r="G309" i="1"/>
  <c r="E309" i="1"/>
  <c r="D309" i="1"/>
  <c r="C309" i="1"/>
  <c r="P308" i="1"/>
  <c r="O308" i="1"/>
  <c r="N308" i="1"/>
  <c r="L308" i="1"/>
  <c r="K308" i="1"/>
  <c r="J308" i="1"/>
  <c r="H308" i="1"/>
  <c r="G308" i="1"/>
  <c r="F308" i="1"/>
  <c r="D308" i="1"/>
  <c r="C308" i="1"/>
  <c r="Q307" i="1"/>
  <c r="O307" i="1"/>
  <c r="N307" i="1"/>
  <c r="M307" i="1"/>
  <c r="K307" i="1"/>
  <c r="J307" i="1"/>
  <c r="I307" i="1"/>
  <c r="G307" i="1"/>
  <c r="F307" i="1"/>
  <c r="E307" i="1"/>
  <c r="C307" i="1"/>
  <c r="Q306" i="1"/>
  <c r="P306" i="1"/>
  <c r="N306" i="1"/>
  <c r="M306" i="1"/>
  <c r="L306" i="1"/>
  <c r="J306" i="1"/>
  <c r="I306" i="1"/>
  <c r="H306" i="1"/>
  <c r="F306" i="1"/>
  <c r="E306" i="1"/>
  <c r="D306" i="1"/>
  <c r="Q305" i="1"/>
  <c r="P305" i="1"/>
  <c r="O305" i="1"/>
  <c r="M305" i="1"/>
  <c r="L305" i="1"/>
  <c r="K305" i="1"/>
  <c r="I305" i="1"/>
  <c r="H305" i="1"/>
  <c r="G305" i="1"/>
  <c r="E305" i="1"/>
  <c r="D305" i="1"/>
  <c r="C305" i="1"/>
  <c r="P304" i="1"/>
  <c r="O304" i="1"/>
  <c r="N304" i="1"/>
  <c r="L304" i="1"/>
  <c r="K304" i="1"/>
  <c r="J304" i="1"/>
  <c r="H304" i="1"/>
  <c r="G304" i="1"/>
  <c r="F304" i="1"/>
  <c r="D304" i="1"/>
  <c r="C304" i="1"/>
  <c r="Q303" i="1"/>
  <c r="O303" i="1"/>
  <c r="N303" i="1"/>
  <c r="M303" i="1"/>
  <c r="K303" i="1"/>
  <c r="J303" i="1"/>
  <c r="I303" i="1"/>
  <c r="G303" i="1"/>
  <c r="F303" i="1"/>
  <c r="E303" i="1"/>
  <c r="C303" i="1"/>
  <c r="Q302" i="1"/>
  <c r="P302" i="1"/>
  <c r="N302" i="1"/>
  <c r="M302" i="1"/>
  <c r="L302" i="1"/>
  <c r="J302" i="1"/>
  <c r="I302" i="1"/>
  <c r="H302" i="1"/>
  <c r="F302" i="1"/>
  <c r="E302" i="1"/>
  <c r="D302" i="1"/>
  <c r="Q301" i="1"/>
  <c r="P301" i="1"/>
  <c r="O301" i="1"/>
  <c r="M301" i="1"/>
  <c r="L301" i="1"/>
  <c r="K301" i="1"/>
  <c r="I301" i="1"/>
  <c r="H301" i="1"/>
  <c r="G301" i="1"/>
  <c r="E301" i="1"/>
  <c r="D301" i="1"/>
  <c r="C301" i="1"/>
  <c r="P300" i="1"/>
  <c r="O300" i="1"/>
  <c r="N300" i="1"/>
  <c r="L300" i="1"/>
  <c r="K300" i="1"/>
  <c r="J300" i="1"/>
  <c r="H300" i="1"/>
  <c r="G300" i="1"/>
  <c r="F300" i="1"/>
  <c r="D300" i="1"/>
  <c r="C300" i="1"/>
  <c r="Q299" i="1"/>
  <c r="O299" i="1"/>
  <c r="N299" i="1"/>
  <c r="M299" i="1"/>
  <c r="K299" i="1"/>
  <c r="J299" i="1"/>
  <c r="I299" i="1"/>
  <c r="G299" i="1"/>
  <c r="F299" i="1"/>
  <c r="E299" i="1"/>
  <c r="C299" i="1"/>
  <c r="Q298" i="1"/>
  <c r="P298" i="1"/>
  <c r="N298" i="1"/>
  <c r="M298" i="1"/>
  <c r="L298" i="1"/>
  <c r="J298" i="1"/>
  <c r="I298" i="1"/>
  <c r="H298" i="1"/>
  <c r="F298" i="1"/>
  <c r="E298" i="1"/>
  <c r="D298" i="1"/>
  <c r="Q297" i="1"/>
  <c r="P297" i="1"/>
  <c r="O297" i="1"/>
  <c r="M297" i="1"/>
  <c r="L297" i="1"/>
  <c r="K297" i="1"/>
  <c r="I297" i="1"/>
  <c r="H297" i="1"/>
  <c r="G297" i="1"/>
  <c r="E297" i="1"/>
  <c r="D297" i="1"/>
  <c r="C297" i="1"/>
  <c r="P296" i="1"/>
  <c r="O296" i="1"/>
  <c r="N296" i="1"/>
  <c r="L296" i="1"/>
  <c r="K296" i="1"/>
  <c r="J296" i="1"/>
  <c r="H296" i="1"/>
  <c r="G296" i="1"/>
  <c r="F296" i="1"/>
  <c r="D296" i="1"/>
  <c r="C296" i="1"/>
  <c r="Q295" i="1"/>
  <c r="O295" i="1"/>
  <c r="N295" i="1"/>
  <c r="M295" i="1"/>
  <c r="K295" i="1"/>
  <c r="J295" i="1"/>
  <c r="I295" i="1"/>
  <c r="G295" i="1"/>
  <c r="F295" i="1"/>
  <c r="E295" i="1"/>
  <c r="C295" i="1"/>
  <c r="Q294" i="1"/>
  <c r="P294" i="1"/>
  <c r="N294" i="1"/>
  <c r="M294" i="1"/>
  <c r="L294" i="1"/>
  <c r="J294" i="1"/>
  <c r="I294" i="1"/>
  <c r="H294" i="1"/>
  <c r="F294" i="1"/>
  <c r="E294" i="1"/>
  <c r="D294" i="1"/>
  <c r="Q293" i="1"/>
  <c r="P293" i="1"/>
  <c r="O293" i="1"/>
  <c r="M293" i="1"/>
  <c r="L293" i="1"/>
  <c r="K293" i="1"/>
  <c r="I293" i="1"/>
  <c r="H293" i="1"/>
  <c r="G293" i="1"/>
  <c r="E293" i="1"/>
  <c r="D293" i="1"/>
  <c r="C293" i="1"/>
  <c r="P292" i="1"/>
  <c r="O292" i="1"/>
  <c r="N292" i="1"/>
  <c r="L292" i="1"/>
  <c r="K292" i="1"/>
  <c r="J292" i="1"/>
  <c r="H292" i="1"/>
  <c r="G292" i="1"/>
  <c r="F292" i="1"/>
  <c r="D292" i="1"/>
  <c r="C292" i="1"/>
  <c r="Q291" i="1"/>
  <c r="O291" i="1"/>
  <c r="N291" i="1"/>
  <c r="M291" i="1"/>
  <c r="K291" i="1"/>
  <c r="J291" i="1"/>
  <c r="I291" i="1"/>
  <c r="G291" i="1"/>
  <c r="F291" i="1"/>
  <c r="E291" i="1"/>
  <c r="C291" i="1"/>
  <c r="Q290" i="1"/>
  <c r="P290" i="1"/>
  <c r="N290" i="1"/>
  <c r="M290" i="1"/>
  <c r="L290" i="1"/>
  <c r="J290" i="1"/>
  <c r="I290" i="1"/>
  <c r="H290" i="1"/>
  <c r="F290" i="1"/>
  <c r="E290" i="1"/>
  <c r="D290" i="1"/>
  <c r="Q289" i="1"/>
  <c r="P289" i="1"/>
  <c r="O289" i="1"/>
  <c r="M289" i="1"/>
  <c r="L289" i="1"/>
  <c r="K289" i="1"/>
  <c r="I289" i="1"/>
  <c r="H289" i="1"/>
  <c r="G289" i="1"/>
  <c r="E289" i="1"/>
  <c r="D289" i="1"/>
  <c r="C289" i="1"/>
  <c r="P288" i="1"/>
  <c r="O288" i="1"/>
  <c r="N288" i="1"/>
  <c r="L288" i="1"/>
  <c r="K288" i="1"/>
  <c r="J288" i="1"/>
  <c r="H288" i="1"/>
  <c r="G288" i="1"/>
  <c r="F288" i="1"/>
  <c r="D288" i="1"/>
  <c r="C288" i="1"/>
  <c r="Q287" i="1"/>
  <c r="O287" i="1"/>
  <c r="N287" i="1"/>
  <c r="M287" i="1"/>
  <c r="K287" i="1"/>
  <c r="J287" i="1"/>
  <c r="I287" i="1"/>
  <c r="G287" i="1"/>
  <c r="F287" i="1"/>
  <c r="E287" i="1"/>
  <c r="C287" i="1"/>
  <c r="Q286" i="1"/>
  <c r="P286" i="1"/>
  <c r="N286" i="1"/>
  <c r="M286" i="1"/>
  <c r="L286" i="1"/>
  <c r="J286" i="1"/>
  <c r="I286" i="1"/>
  <c r="H286" i="1"/>
  <c r="F286" i="1"/>
  <c r="E286" i="1"/>
  <c r="D286" i="1"/>
  <c r="Q285" i="1"/>
  <c r="P285" i="1"/>
  <c r="O285" i="1"/>
  <c r="M285" i="1"/>
  <c r="L285" i="1"/>
  <c r="K285" i="1"/>
  <c r="I285" i="1"/>
  <c r="H285" i="1"/>
  <c r="G285" i="1"/>
  <c r="E285" i="1"/>
  <c r="D285" i="1"/>
  <c r="C285" i="1"/>
  <c r="P284" i="1"/>
  <c r="O284" i="1"/>
  <c r="N284" i="1"/>
  <c r="L284" i="1"/>
  <c r="K284" i="1"/>
  <c r="J284" i="1"/>
  <c r="H284" i="1"/>
  <c r="G284" i="1"/>
  <c r="F284" i="1"/>
  <c r="D284" i="1"/>
  <c r="C284" i="1"/>
  <c r="Q283" i="1"/>
  <c r="O283" i="1"/>
  <c r="N283" i="1"/>
  <c r="M283" i="1"/>
  <c r="K283" i="1"/>
  <c r="J283" i="1"/>
  <c r="I283" i="1"/>
  <c r="G283" i="1"/>
  <c r="F283" i="1"/>
  <c r="E283" i="1"/>
  <c r="C283" i="1"/>
  <c r="Q282" i="1"/>
  <c r="P282" i="1"/>
  <c r="N282" i="1"/>
  <c r="M282" i="1"/>
  <c r="L282" i="1"/>
  <c r="J282" i="1"/>
  <c r="I282" i="1"/>
  <c r="H282" i="1"/>
  <c r="F282" i="1"/>
  <c r="E282" i="1"/>
  <c r="D282" i="1"/>
  <c r="Q281" i="1"/>
  <c r="P281" i="1"/>
  <c r="O281" i="1"/>
  <c r="M281" i="1"/>
  <c r="L281" i="1"/>
  <c r="K281" i="1"/>
  <c r="I281" i="1"/>
  <c r="H281" i="1"/>
  <c r="G281" i="1"/>
  <c r="E281" i="1"/>
  <c r="D281" i="1"/>
  <c r="C281" i="1"/>
  <c r="P280" i="1"/>
  <c r="O280" i="1"/>
  <c r="N280" i="1"/>
  <c r="L280" i="1"/>
  <c r="K280" i="1"/>
  <c r="J280" i="1"/>
  <c r="H280" i="1"/>
  <c r="G280" i="1"/>
  <c r="F280" i="1"/>
  <c r="D280" i="1"/>
  <c r="C280" i="1"/>
  <c r="Q279" i="1"/>
  <c r="O279" i="1"/>
  <c r="N279" i="1"/>
  <c r="M279" i="1"/>
  <c r="K279" i="1"/>
  <c r="J279" i="1"/>
  <c r="I279" i="1"/>
  <c r="G279" i="1"/>
  <c r="F279" i="1"/>
  <c r="E279" i="1"/>
  <c r="C279" i="1"/>
  <c r="Q278" i="1"/>
  <c r="P278" i="1"/>
  <c r="N278" i="1"/>
  <c r="M278" i="1"/>
  <c r="L278" i="1"/>
  <c r="J278" i="1"/>
  <c r="I278" i="1"/>
  <c r="H278" i="1"/>
  <c r="F278" i="1"/>
  <c r="E278" i="1"/>
  <c r="D278" i="1"/>
  <c r="Q277" i="1"/>
  <c r="P277" i="1"/>
  <c r="O277" i="1"/>
  <c r="M277" i="1"/>
  <c r="L277" i="1"/>
  <c r="K277" i="1"/>
  <c r="I277" i="1"/>
  <c r="H277" i="1"/>
  <c r="G277" i="1"/>
  <c r="E277" i="1"/>
  <c r="D277" i="1"/>
  <c r="C277" i="1"/>
  <c r="P276" i="1"/>
  <c r="O276" i="1"/>
  <c r="N276" i="1"/>
  <c r="L276" i="1"/>
  <c r="K276" i="1"/>
  <c r="J276" i="1"/>
  <c r="H276" i="1"/>
  <c r="G276" i="1"/>
  <c r="F276" i="1"/>
  <c r="D276" i="1"/>
  <c r="C276" i="1"/>
  <c r="Q275" i="1"/>
  <c r="O275" i="1"/>
  <c r="N275" i="1"/>
  <c r="M275" i="1"/>
  <c r="K275" i="1"/>
  <c r="J275" i="1"/>
  <c r="I275" i="1"/>
  <c r="G275" i="1"/>
  <c r="F275" i="1"/>
  <c r="E275" i="1"/>
  <c r="C275" i="1"/>
  <c r="Q274" i="1"/>
  <c r="P274" i="1"/>
  <c r="N274" i="1"/>
  <c r="M274" i="1"/>
  <c r="L274" i="1"/>
  <c r="J274" i="1"/>
  <c r="I274" i="1"/>
  <c r="H274" i="1"/>
  <c r="F274" i="1"/>
  <c r="E274" i="1"/>
  <c r="D274" i="1"/>
  <c r="Q273" i="1"/>
  <c r="P273" i="1"/>
  <c r="O273" i="1"/>
  <c r="M273" i="1"/>
  <c r="L273" i="1"/>
  <c r="K273" i="1"/>
  <c r="I273" i="1"/>
  <c r="H273" i="1"/>
  <c r="G273" i="1"/>
  <c r="E273" i="1"/>
  <c r="D273" i="1"/>
  <c r="C273" i="1"/>
  <c r="P272" i="1"/>
  <c r="O272" i="1"/>
  <c r="N272" i="1"/>
  <c r="L272" i="1"/>
  <c r="K272" i="1"/>
  <c r="J272" i="1"/>
  <c r="H272" i="1"/>
  <c r="G272" i="1"/>
  <c r="F272" i="1"/>
  <c r="D272" i="1"/>
  <c r="C272" i="1"/>
  <c r="Q271" i="1"/>
  <c r="O271" i="1"/>
  <c r="N271" i="1"/>
  <c r="M271" i="1"/>
  <c r="K271" i="1"/>
  <c r="J271" i="1"/>
  <c r="I271" i="1"/>
  <c r="G271" i="1"/>
  <c r="F271" i="1"/>
  <c r="E271" i="1"/>
  <c r="C271" i="1"/>
  <c r="Q270" i="1"/>
  <c r="P270" i="1"/>
  <c r="N270" i="1"/>
  <c r="M270" i="1"/>
  <c r="L270" i="1"/>
  <c r="J270" i="1"/>
  <c r="I270" i="1"/>
  <c r="H270" i="1"/>
  <c r="F270" i="1"/>
  <c r="E270" i="1"/>
  <c r="D270" i="1"/>
  <c r="Q269" i="1"/>
  <c r="P269" i="1"/>
  <c r="O269" i="1"/>
  <c r="M269" i="1"/>
  <c r="L269" i="1"/>
  <c r="K269" i="1"/>
  <c r="I269" i="1"/>
  <c r="H269" i="1"/>
  <c r="G269" i="1"/>
  <c r="E269" i="1"/>
  <c r="D269" i="1"/>
  <c r="C269" i="1"/>
  <c r="P268" i="1"/>
  <c r="O268" i="1"/>
  <c r="N268" i="1"/>
  <c r="L268" i="1"/>
  <c r="K268" i="1"/>
  <c r="J268" i="1"/>
  <c r="H268" i="1"/>
  <c r="G268" i="1"/>
  <c r="F268" i="1"/>
  <c r="D268" i="1"/>
  <c r="C268" i="1"/>
  <c r="Q267" i="1"/>
  <c r="O267" i="1"/>
  <c r="N267" i="1"/>
  <c r="M267" i="1"/>
  <c r="K267" i="1"/>
  <c r="J267" i="1"/>
  <c r="I267" i="1"/>
  <c r="G267" i="1"/>
  <c r="F267" i="1"/>
  <c r="E267" i="1"/>
  <c r="C267" i="1"/>
  <c r="Q266" i="1"/>
  <c r="P266" i="1"/>
  <c r="N266" i="1"/>
  <c r="M266" i="1"/>
  <c r="L266" i="1"/>
  <c r="J266" i="1"/>
  <c r="I266" i="1"/>
  <c r="H266" i="1"/>
  <c r="F266" i="1"/>
  <c r="E266" i="1"/>
  <c r="D266" i="1"/>
  <c r="Q265" i="1"/>
  <c r="P265" i="1"/>
  <c r="O265" i="1"/>
  <c r="M265" i="1"/>
  <c r="L265" i="1"/>
  <c r="K265" i="1"/>
  <c r="I265" i="1"/>
  <c r="H265" i="1"/>
  <c r="G265" i="1"/>
  <c r="E265" i="1"/>
  <c r="D265" i="1"/>
  <c r="C265" i="1"/>
  <c r="P264" i="1"/>
  <c r="O264" i="1"/>
  <c r="N264" i="1"/>
  <c r="L264" i="1"/>
  <c r="K264" i="1"/>
  <c r="J264" i="1"/>
  <c r="H264" i="1"/>
  <c r="G264" i="1"/>
  <c r="F264" i="1"/>
  <c r="D264" i="1"/>
  <c r="C264" i="1"/>
  <c r="Q263" i="1"/>
  <c r="O263" i="1"/>
  <c r="N263" i="1"/>
  <c r="M263" i="1"/>
  <c r="K263" i="1"/>
  <c r="J263" i="1"/>
  <c r="I263" i="1"/>
  <c r="G263" i="1"/>
  <c r="F263" i="1"/>
  <c r="E263" i="1"/>
  <c r="C263" i="1"/>
  <c r="Q262" i="1"/>
  <c r="P262" i="1"/>
  <c r="N262" i="1"/>
  <c r="M262" i="1"/>
  <c r="L262" i="1"/>
  <c r="J262" i="1"/>
  <c r="I262" i="1"/>
  <c r="H262" i="1"/>
  <c r="F262" i="1"/>
  <c r="E262" i="1"/>
  <c r="D262" i="1"/>
  <c r="Q261" i="1"/>
  <c r="P261" i="1"/>
  <c r="O261" i="1"/>
  <c r="M261" i="1"/>
  <c r="L261" i="1"/>
  <c r="K261" i="1"/>
  <c r="I261" i="1"/>
  <c r="H261" i="1"/>
  <c r="G261" i="1"/>
  <c r="E261" i="1"/>
  <c r="D261" i="1"/>
  <c r="C261" i="1"/>
  <c r="P260" i="1"/>
  <c r="O260" i="1"/>
  <c r="N260" i="1"/>
  <c r="L260" i="1"/>
  <c r="K260" i="1"/>
  <c r="J260" i="1"/>
  <c r="H260" i="1"/>
  <c r="G260" i="1"/>
  <c r="F260" i="1"/>
  <c r="D260" i="1"/>
  <c r="C260" i="1"/>
  <c r="Q259" i="1"/>
  <c r="O259" i="1"/>
  <c r="N259" i="1"/>
  <c r="M259" i="1"/>
  <c r="K259" i="1"/>
  <c r="J259" i="1"/>
  <c r="I259" i="1"/>
  <c r="G259" i="1"/>
  <c r="F259" i="1"/>
  <c r="E259" i="1"/>
  <c r="C259" i="1"/>
  <c r="Q258" i="1"/>
  <c r="P258" i="1"/>
  <c r="N258" i="1"/>
  <c r="M258" i="1"/>
  <c r="L258" i="1"/>
  <c r="J258" i="1"/>
  <c r="I258" i="1"/>
  <c r="H258" i="1"/>
  <c r="F258" i="1"/>
  <c r="E258" i="1"/>
  <c r="D258" i="1"/>
  <c r="Q257" i="1"/>
  <c r="P257" i="1"/>
  <c r="O257" i="1"/>
  <c r="M257" i="1"/>
  <c r="L257" i="1"/>
  <c r="K257" i="1"/>
  <c r="I257" i="1"/>
  <c r="H257" i="1"/>
  <c r="G257" i="1"/>
  <c r="E257" i="1"/>
  <c r="D257" i="1"/>
  <c r="C257" i="1"/>
  <c r="P256" i="1"/>
  <c r="O256" i="1"/>
  <c r="N256" i="1"/>
  <c r="L256" i="1"/>
  <c r="K256" i="1"/>
  <c r="J256" i="1"/>
  <c r="H256" i="1"/>
  <c r="G256" i="1"/>
  <c r="F256" i="1"/>
  <c r="D256" i="1"/>
  <c r="C256" i="1"/>
  <c r="Q255" i="1"/>
  <c r="O255" i="1"/>
  <c r="N255" i="1"/>
  <c r="M255" i="1"/>
  <c r="K255" i="1"/>
  <c r="J255" i="1"/>
  <c r="I255" i="1"/>
  <c r="G255" i="1"/>
  <c r="F255" i="1"/>
  <c r="E255" i="1"/>
  <c r="C255" i="1"/>
  <c r="Q254" i="1"/>
  <c r="P254" i="1"/>
  <c r="N254" i="1"/>
  <c r="M254" i="1"/>
  <c r="L254" i="1"/>
  <c r="J254" i="1"/>
  <c r="I254" i="1"/>
  <c r="H254" i="1"/>
  <c r="F254" i="1"/>
  <c r="E254" i="1"/>
  <c r="D254" i="1"/>
  <c r="Q253" i="1"/>
  <c r="P253" i="1"/>
  <c r="O253" i="1"/>
  <c r="M253" i="1"/>
  <c r="L253" i="1"/>
  <c r="K253" i="1"/>
  <c r="I253" i="1"/>
  <c r="H253" i="1"/>
  <c r="G253" i="1"/>
  <c r="E253" i="1"/>
  <c r="D253" i="1"/>
  <c r="C253" i="1"/>
  <c r="P252" i="1"/>
  <c r="O252" i="1"/>
  <c r="N252" i="1"/>
  <c r="L252" i="1"/>
  <c r="K252" i="1"/>
  <c r="J252" i="1"/>
  <c r="H252" i="1"/>
  <c r="G252" i="1"/>
  <c r="F252" i="1"/>
  <c r="D252" i="1"/>
  <c r="C252" i="1"/>
  <c r="Q251" i="1"/>
  <c r="O251" i="1"/>
  <c r="N251" i="1"/>
  <c r="M251" i="1"/>
  <c r="K251" i="1"/>
  <c r="J251" i="1"/>
  <c r="I251" i="1"/>
  <c r="G251" i="1"/>
  <c r="F251" i="1"/>
  <c r="E251" i="1"/>
  <c r="C251" i="1"/>
  <c r="Q250" i="1"/>
  <c r="P250" i="1"/>
  <c r="N250" i="1"/>
  <c r="M250" i="1"/>
  <c r="L250" i="1"/>
  <c r="J250" i="1"/>
  <c r="I250" i="1"/>
  <c r="H250" i="1"/>
  <c r="F250" i="1"/>
  <c r="E250" i="1"/>
  <c r="D250" i="1"/>
  <c r="Q249" i="1"/>
  <c r="P249" i="1"/>
  <c r="O249" i="1"/>
  <c r="M249" i="1"/>
  <c r="L249" i="1"/>
  <c r="K249" i="1"/>
  <c r="I249" i="1"/>
  <c r="H249" i="1"/>
  <c r="G249" i="1"/>
  <c r="E249" i="1"/>
  <c r="D249" i="1"/>
  <c r="C249" i="1"/>
  <c r="P248" i="1"/>
  <c r="O248" i="1"/>
  <c r="N248" i="1"/>
  <c r="L248" i="1"/>
  <c r="K248" i="1"/>
  <c r="J248" i="1"/>
  <c r="H248" i="1"/>
  <c r="G248" i="1"/>
  <c r="F248" i="1"/>
  <c r="D248" i="1"/>
  <c r="C248" i="1"/>
  <c r="Q247" i="1"/>
  <c r="O247" i="1"/>
  <c r="N247" i="1"/>
  <c r="M247" i="1"/>
  <c r="K247" i="1"/>
  <c r="J247" i="1"/>
  <c r="I247" i="1"/>
  <c r="G247" i="1"/>
  <c r="F247" i="1"/>
  <c r="E247" i="1"/>
  <c r="C247" i="1"/>
  <c r="Q246" i="1"/>
  <c r="P246" i="1"/>
  <c r="N246" i="1"/>
  <c r="M246" i="1"/>
  <c r="L246" i="1"/>
  <c r="J246" i="1"/>
  <c r="I246" i="1"/>
  <c r="H246" i="1"/>
  <c r="F246" i="1"/>
  <c r="E246" i="1"/>
  <c r="D246" i="1"/>
  <c r="Q245" i="1"/>
  <c r="P245" i="1"/>
  <c r="O245" i="1"/>
  <c r="M245" i="1"/>
  <c r="L245" i="1"/>
  <c r="K245" i="1"/>
  <c r="I245" i="1"/>
  <c r="H245" i="1"/>
  <c r="G245" i="1"/>
  <c r="E245" i="1"/>
  <c r="D245" i="1"/>
  <c r="C245" i="1"/>
  <c r="P244" i="1"/>
  <c r="O244" i="1"/>
  <c r="N244" i="1"/>
  <c r="L244" i="1"/>
  <c r="K244" i="1"/>
  <c r="J244" i="1"/>
  <c r="H244" i="1"/>
  <c r="G244" i="1"/>
  <c r="F244" i="1"/>
  <c r="D244" i="1"/>
  <c r="C244" i="1"/>
  <c r="Q243" i="1"/>
  <c r="O243" i="1"/>
  <c r="N243" i="1"/>
  <c r="M243" i="1"/>
  <c r="K243" i="1"/>
  <c r="J243" i="1"/>
  <c r="I243" i="1"/>
  <c r="G243" i="1"/>
  <c r="F243" i="1"/>
  <c r="E243" i="1"/>
  <c r="C243" i="1"/>
  <c r="Q242" i="1"/>
  <c r="P242" i="1"/>
  <c r="N242" i="1"/>
  <c r="M242" i="1"/>
  <c r="L242" i="1"/>
  <c r="J242" i="1"/>
  <c r="I242" i="1"/>
  <c r="H242" i="1"/>
  <c r="F242" i="1"/>
  <c r="E242" i="1"/>
  <c r="D242" i="1"/>
  <c r="Q241" i="1"/>
  <c r="P241" i="1"/>
  <c r="O241" i="1"/>
  <c r="M241" i="1"/>
  <c r="L241" i="1"/>
  <c r="K241" i="1"/>
  <c r="I241" i="1"/>
  <c r="H241" i="1"/>
  <c r="G241" i="1"/>
  <c r="E241" i="1"/>
  <c r="D241" i="1"/>
  <c r="C241" i="1"/>
  <c r="P240" i="1"/>
  <c r="O240" i="1"/>
  <c r="N240" i="1"/>
  <c r="L240" i="1"/>
  <c r="K240" i="1"/>
  <c r="J240" i="1"/>
  <c r="H240" i="1"/>
  <c r="G240" i="1"/>
  <c r="F240" i="1"/>
  <c r="D240" i="1"/>
  <c r="C240" i="1"/>
  <c r="Q239" i="1"/>
  <c r="O239" i="1"/>
  <c r="N239" i="1"/>
  <c r="M239" i="1"/>
  <c r="K239" i="1"/>
  <c r="J239" i="1"/>
  <c r="I239" i="1"/>
  <c r="G239" i="1"/>
  <c r="F239" i="1"/>
  <c r="E239" i="1"/>
  <c r="C239" i="1"/>
  <c r="Q238" i="1"/>
  <c r="P238" i="1"/>
  <c r="N238" i="1"/>
  <c r="M238" i="1"/>
  <c r="L238" i="1"/>
  <c r="J238" i="1"/>
  <c r="I238" i="1"/>
  <c r="H238" i="1"/>
  <c r="F238" i="1"/>
  <c r="E238" i="1"/>
  <c r="D238" i="1"/>
  <c r="Q237" i="1"/>
  <c r="P237" i="1"/>
  <c r="O237" i="1"/>
  <c r="M237" i="1"/>
  <c r="L237" i="1"/>
  <c r="K237" i="1"/>
  <c r="I237" i="1"/>
  <c r="H237" i="1"/>
  <c r="G237" i="1"/>
  <c r="E237" i="1"/>
  <c r="D237" i="1"/>
  <c r="C237" i="1"/>
  <c r="P236" i="1"/>
  <c r="O236" i="1"/>
  <c r="N236" i="1"/>
  <c r="L236" i="1"/>
  <c r="K236" i="1"/>
  <c r="J236" i="1"/>
  <c r="H236" i="1"/>
  <c r="G236" i="1"/>
  <c r="F236" i="1"/>
  <c r="D236" i="1"/>
  <c r="C236" i="1"/>
  <c r="Q235" i="1"/>
  <c r="O235" i="1"/>
  <c r="N235" i="1"/>
  <c r="M235" i="1"/>
  <c r="K235" i="1"/>
  <c r="J235" i="1"/>
  <c r="I235" i="1"/>
  <c r="G235" i="1"/>
  <c r="F235" i="1"/>
  <c r="E235" i="1"/>
  <c r="C235" i="1"/>
  <c r="Q234" i="1"/>
  <c r="O234" i="1"/>
  <c r="N234" i="1"/>
  <c r="M234" i="1"/>
  <c r="K234" i="1"/>
  <c r="J234" i="1"/>
  <c r="I234" i="1"/>
  <c r="G234" i="1"/>
  <c r="F234" i="1"/>
  <c r="E234" i="1"/>
  <c r="Q233" i="1"/>
  <c r="P233" i="1"/>
  <c r="N233" i="1"/>
  <c r="M233" i="1"/>
  <c r="L233" i="1"/>
  <c r="J233" i="1"/>
  <c r="I233" i="1"/>
  <c r="H233" i="1"/>
  <c r="F233" i="1"/>
  <c r="E233" i="1"/>
  <c r="D233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P231" i="1"/>
  <c r="O231" i="1"/>
  <c r="N231" i="1"/>
  <c r="L231" i="1"/>
  <c r="K231" i="1"/>
  <c r="J231" i="1"/>
  <c r="H231" i="1"/>
  <c r="G231" i="1"/>
  <c r="F231" i="1"/>
  <c r="D231" i="1"/>
  <c r="Q230" i="1"/>
  <c r="O230" i="1"/>
  <c r="N230" i="1"/>
  <c r="M230" i="1"/>
  <c r="K230" i="1"/>
  <c r="J230" i="1"/>
  <c r="I230" i="1"/>
  <c r="G230" i="1"/>
  <c r="F230" i="1"/>
  <c r="E230" i="1"/>
  <c r="Q229" i="1"/>
  <c r="P229" i="1"/>
  <c r="N229" i="1"/>
  <c r="M229" i="1"/>
  <c r="L229" i="1"/>
  <c r="J229" i="1"/>
  <c r="I229" i="1"/>
  <c r="H229" i="1"/>
  <c r="F229" i="1"/>
  <c r="E229" i="1"/>
  <c r="D229" i="1"/>
  <c r="Q228" i="1"/>
  <c r="P228" i="1"/>
  <c r="O228" i="1"/>
  <c r="M228" i="1"/>
  <c r="L228" i="1"/>
  <c r="K228" i="1"/>
  <c r="I228" i="1"/>
  <c r="H228" i="1"/>
  <c r="G228" i="1"/>
  <c r="E228" i="1"/>
  <c r="D228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Q226" i="1"/>
  <c r="O226" i="1"/>
  <c r="N226" i="1"/>
  <c r="M226" i="1"/>
  <c r="K226" i="1"/>
  <c r="J226" i="1"/>
  <c r="I226" i="1"/>
  <c r="G226" i="1"/>
  <c r="F226" i="1"/>
  <c r="E226" i="1"/>
  <c r="Q225" i="1"/>
  <c r="P225" i="1"/>
  <c r="N225" i="1"/>
  <c r="M225" i="1"/>
  <c r="L225" i="1"/>
  <c r="J225" i="1"/>
  <c r="I225" i="1"/>
  <c r="H225" i="1"/>
  <c r="F225" i="1"/>
  <c r="E225" i="1"/>
  <c r="D225" i="1"/>
  <c r="Q224" i="1"/>
  <c r="P224" i="1"/>
  <c r="O224" i="1"/>
  <c r="M224" i="1"/>
  <c r="L224" i="1"/>
  <c r="K224" i="1"/>
  <c r="I224" i="1"/>
  <c r="H224" i="1"/>
  <c r="G224" i="1"/>
  <c r="E224" i="1"/>
  <c r="D224" i="1"/>
  <c r="P223" i="1"/>
  <c r="O223" i="1"/>
  <c r="N223" i="1"/>
  <c r="L223" i="1"/>
  <c r="K223" i="1"/>
  <c r="J223" i="1"/>
  <c r="H223" i="1"/>
  <c r="G223" i="1"/>
  <c r="F223" i="1"/>
  <c r="D223" i="1"/>
  <c r="Q222" i="1"/>
  <c r="O222" i="1"/>
  <c r="N222" i="1"/>
  <c r="M222" i="1"/>
  <c r="K222" i="1"/>
  <c r="J222" i="1"/>
  <c r="I222" i="1"/>
  <c r="G222" i="1"/>
  <c r="F222" i="1"/>
  <c r="E222" i="1"/>
  <c r="Q221" i="1"/>
  <c r="P221" i="1"/>
  <c r="N221" i="1"/>
  <c r="M221" i="1"/>
  <c r="L221" i="1"/>
  <c r="J221" i="1"/>
  <c r="I221" i="1"/>
  <c r="H221" i="1"/>
  <c r="F221" i="1"/>
  <c r="E221" i="1"/>
  <c r="D221" i="1"/>
  <c r="Q220" i="1"/>
  <c r="P220" i="1"/>
  <c r="O220" i="1"/>
  <c r="M220" i="1"/>
  <c r="L220" i="1"/>
  <c r="K220" i="1"/>
  <c r="I220" i="1"/>
  <c r="H220" i="1"/>
  <c r="G220" i="1"/>
  <c r="E220" i="1"/>
  <c r="D220" i="1"/>
  <c r="P219" i="1"/>
  <c r="O219" i="1"/>
  <c r="N219" i="1"/>
  <c r="L219" i="1"/>
  <c r="K219" i="1"/>
  <c r="J219" i="1"/>
  <c r="H219" i="1"/>
  <c r="G219" i="1"/>
  <c r="F219" i="1"/>
  <c r="D219" i="1"/>
  <c r="Q218" i="1"/>
  <c r="O218" i="1"/>
  <c r="N218" i="1"/>
  <c r="M218" i="1"/>
  <c r="K218" i="1"/>
  <c r="J218" i="1"/>
  <c r="I218" i="1"/>
  <c r="G218" i="1"/>
  <c r="F218" i="1"/>
  <c r="E218" i="1"/>
  <c r="Q217" i="1"/>
  <c r="P217" i="1"/>
  <c r="N217" i="1"/>
  <c r="M217" i="1"/>
  <c r="L217" i="1"/>
  <c r="J217" i="1"/>
  <c r="I217" i="1"/>
  <c r="H217" i="1"/>
  <c r="F217" i="1"/>
  <c r="E217" i="1"/>
  <c r="D217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P215" i="1"/>
  <c r="O215" i="1"/>
  <c r="N215" i="1"/>
  <c r="L215" i="1"/>
  <c r="K215" i="1"/>
  <c r="J215" i="1"/>
  <c r="H215" i="1"/>
  <c r="G215" i="1"/>
  <c r="F215" i="1"/>
  <c r="D215" i="1"/>
  <c r="Q214" i="1"/>
  <c r="O214" i="1"/>
  <c r="N214" i="1"/>
  <c r="M214" i="1"/>
  <c r="K214" i="1"/>
  <c r="J214" i="1"/>
  <c r="I214" i="1"/>
  <c r="G214" i="1"/>
  <c r="F214" i="1"/>
  <c r="E214" i="1"/>
  <c r="Q213" i="1"/>
  <c r="P213" i="1"/>
  <c r="N213" i="1"/>
  <c r="M213" i="1"/>
  <c r="L213" i="1"/>
  <c r="J213" i="1"/>
  <c r="I213" i="1"/>
  <c r="H213" i="1"/>
  <c r="F213" i="1"/>
  <c r="E213" i="1"/>
  <c r="D213" i="1"/>
  <c r="Q212" i="1"/>
  <c r="P212" i="1"/>
  <c r="O212" i="1"/>
  <c r="M212" i="1"/>
  <c r="L212" i="1"/>
  <c r="K212" i="1"/>
  <c r="I212" i="1"/>
  <c r="H212" i="1"/>
  <c r="G212" i="1"/>
  <c r="E212" i="1"/>
  <c r="D212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Q210" i="1"/>
  <c r="O210" i="1"/>
  <c r="N210" i="1"/>
  <c r="M210" i="1"/>
  <c r="K210" i="1"/>
  <c r="J210" i="1"/>
  <c r="I210" i="1"/>
  <c r="G210" i="1"/>
  <c r="F210" i="1"/>
  <c r="E210" i="1"/>
  <c r="Q209" i="1"/>
  <c r="P209" i="1"/>
  <c r="N209" i="1"/>
  <c r="M209" i="1"/>
  <c r="L209" i="1"/>
  <c r="J209" i="1"/>
  <c r="I209" i="1"/>
  <c r="H209" i="1"/>
  <c r="F209" i="1"/>
  <c r="E209" i="1"/>
  <c r="D209" i="1"/>
  <c r="Q208" i="1"/>
  <c r="P208" i="1"/>
  <c r="O208" i="1"/>
  <c r="M208" i="1"/>
  <c r="L208" i="1"/>
  <c r="K208" i="1"/>
  <c r="I208" i="1"/>
  <c r="H208" i="1"/>
  <c r="G208" i="1"/>
  <c r="E208" i="1"/>
  <c r="D208" i="1"/>
  <c r="P207" i="1"/>
  <c r="O207" i="1"/>
  <c r="N207" i="1"/>
  <c r="L207" i="1"/>
  <c r="K207" i="1"/>
  <c r="J207" i="1"/>
  <c r="H207" i="1"/>
  <c r="G207" i="1"/>
  <c r="F207" i="1"/>
  <c r="D207" i="1"/>
  <c r="Q206" i="1"/>
  <c r="O206" i="1"/>
  <c r="N206" i="1"/>
  <c r="M206" i="1"/>
  <c r="K206" i="1"/>
  <c r="J206" i="1"/>
  <c r="I206" i="1"/>
  <c r="G206" i="1"/>
  <c r="F206" i="1"/>
  <c r="E206" i="1"/>
  <c r="Q205" i="1"/>
  <c r="P205" i="1"/>
  <c r="N205" i="1"/>
  <c r="M205" i="1"/>
  <c r="L205" i="1"/>
  <c r="J205" i="1"/>
  <c r="I205" i="1"/>
  <c r="H205" i="1"/>
  <c r="F205" i="1"/>
  <c r="E205" i="1"/>
  <c r="D205" i="1"/>
  <c r="Q204" i="1"/>
  <c r="P204" i="1"/>
  <c r="O204" i="1"/>
  <c r="M204" i="1"/>
  <c r="L204" i="1"/>
  <c r="K204" i="1"/>
  <c r="I204" i="1"/>
  <c r="H204" i="1"/>
  <c r="G204" i="1"/>
  <c r="E204" i="1"/>
  <c r="D204" i="1"/>
  <c r="P203" i="1"/>
  <c r="O203" i="1"/>
  <c r="N203" i="1"/>
  <c r="L203" i="1"/>
  <c r="K203" i="1"/>
  <c r="J203" i="1"/>
  <c r="H203" i="1"/>
  <c r="G203" i="1"/>
  <c r="F203" i="1"/>
  <c r="D203" i="1"/>
  <c r="Q202" i="1"/>
  <c r="O202" i="1"/>
  <c r="N202" i="1"/>
  <c r="M202" i="1"/>
  <c r="K202" i="1"/>
  <c r="J202" i="1"/>
  <c r="I202" i="1"/>
  <c r="G202" i="1"/>
  <c r="F202" i="1"/>
  <c r="E202" i="1"/>
  <c r="Q201" i="1"/>
  <c r="P201" i="1"/>
  <c r="N201" i="1"/>
  <c r="M201" i="1"/>
  <c r="L201" i="1"/>
  <c r="J201" i="1"/>
  <c r="I201" i="1"/>
  <c r="H201" i="1"/>
  <c r="F201" i="1"/>
  <c r="E201" i="1"/>
  <c r="D201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P199" i="1"/>
  <c r="O199" i="1"/>
  <c r="N199" i="1"/>
  <c r="L199" i="1"/>
  <c r="K199" i="1"/>
  <c r="J199" i="1"/>
  <c r="H199" i="1"/>
  <c r="G199" i="1"/>
  <c r="F199" i="1"/>
  <c r="D199" i="1"/>
  <c r="Q198" i="1"/>
  <c r="O198" i="1"/>
  <c r="N198" i="1"/>
  <c r="M198" i="1"/>
  <c r="K198" i="1"/>
  <c r="J198" i="1"/>
  <c r="I198" i="1"/>
  <c r="G198" i="1"/>
  <c r="F198" i="1"/>
  <c r="E198" i="1"/>
  <c r="Q197" i="1"/>
  <c r="P197" i="1"/>
  <c r="N197" i="1"/>
  <c r="M197" i="1"/>
  <c r="L197" i="1"/>
  <c r="J197" i="1"/>
  <c r="I197" i="1"/>
  <c r="H197" i="1"/>
  <c r="F197" i="1"/>
  <c r="E197" i="1"/>
  <c r="D197" i="1"/>
  <c r="Q196" i="1"/>
  <c r="P196" i="1"/>
  <c r="O196" i="1"/>
  <c r="M196" i="1"/>
  <c r="L196" i="1"/>
  <c r="K196" i="1"/>
  <c r="I196" i="1"/>
  <c r="H196" i="1"/>
  <c r="G196" i="1"/>
  <c r="E196" i="1"/>
  <c r="D196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Q194" i="1"/>
  <c r="O194" i="1"/>
  <c r="N194" i="1"/>
  <c r="M194" i="1"/>
  <c r="K194" i="1"/>
  <c r="J194" i="1"/>
  <c r="I194" i="1"/>
  <c r="G194" i="1"/>
  <c r="F194" i="1"/>
  <c r="E194" i="1"/>
  <c r="Q193" i="1"/>
  <c r="P193" i="1"/>
  <c r="N193" i="1"/>
  <c r="M193" i="1"/>
  <c r="L193" i="1"/>
  <c r="J193" i="1"/>
  <c r="I193" i="1"/>
  <c r="H193" i="1"/>
  <c r="F193" i="1"/>
  <c r="E193" i="1"/>
  <c r="D193" i="1"/>
  <c r="Q192" i="1"/>
  <c r="P192" i="1"/>
  <c r="O192" i="1"/>
  <c r="M192" i="1"/>
  <c r="L192" i="1"/>
  <c r="K192" i="1"/>
  <c r="I192" i="1"/>
  <c r="H192" i="1"/>
  <c r="G192" i="1"/>
  <c r="E192" i="1"/>
  <c r="D192" i="1"/>
  <c r="P191" i="1"/>
  <c r="O191" i="1"/>
  <c r="N191" i="1"/>
  <c r="L191" i="1"/>
  <c r="K191" i="1"/>
  <c r="J191" i="1"/>
  <c r="H191" i="1"/>
  <c r="G191" i="1"/>
  <c r="F191" i="1"/>
  <c r="D191" i="1"/>
  <c r="Q190" i="1"/>
  <c r="O190" i="1"/>
  <c r="N190" i="1"/>
  <c r="M190" i="1"/>
  <c r="K190" i="1"/>
  <c r="J190" i="1"/>
  <c r="I190" i="1"/>
  <c r="G190" i="1"/>
  <c r="F190" i="1"/>
  <c r="E190" i="1"/>
  <c r="Q189" i="1"/>
  <c r="P189" i="1"/>
  <c r="N189" i="1"/>
  <c r="M189" i="1"/>
  <c r="L189" i="1"/>
  <c r="J189" i="1"/>
  <c r="I189" i="1"/>
  <c r="H189" i="1"/>
  <c r="F189" i="1"/>
  <c r="E189" i="1"/>
  <c r="D189" i="1"/>
  <c r="Q188" i="1"/>
  <c r="P188" i="1"/>
  <c r="O188" i="1"/>
  <c r="M188" i="1"/>
  <c r="L188" i="1"/>
  <c r="K188" i="1"/>
  <c r="I188" i="1"/>
  <c r="H188" i="1"/>
  <c r="G188" i="1"/>
  <c r="E188" i="1"/>
  <c r="D188" i="1"/>
  <c r="P187" i="1"/>
  <c r="O187" i="1"/>
  <c r="L187" i="1"/>
  <c r="K187" i="1"/>
  <c r="H187" i="1"/>
  <c r="G187" i="1"/>
  <c r="D187" i="1"/>
  <c r="Q186" i="1"/>
  <c r="O186" i="1"/>
  <c r="N186" i="1"/>
  <c r="M186" i="1"/>
  <c r="K186" i="1"/>
  <c r="J186" i="1"/>
  <c r="I186" i="1"/>
  <c r="G186" i="1"/>
  <c r="F186" i="1"/>
  <c r="E186" i="1"/>
  <c r="Q185" i="1"/>
  <c r="P185" i="1"/>
  <c r="N185" i="1"/>
  <c r="M185" i="1"/>
  <c r="L185" i="1"/>
  <c r="J185" i="1"/>
  <c r="I185" i="1"/>
  <c r="H185" i="1"/>
  <c r="F185" i="1"/>
  <c r="E185" i="1"/>
  <c r="D185" i="1"/>
  <c r="Q184" i="1"/>
  <c r="P184" i="1"/>
  <c r="O184" i="1"/>
  <c r="M184" i="1"/>
  <c r="L184" i="1"/>
  <c r="K184" i="1"/>
  <c r="I184" i="1"/>
  <c r="H184" i="1"/>
  <c r="G184" i="1"/>
  <c r="E184" i="1"/>
  <c r="D184" i="1"/>
  <c r="P183" i="1"/>
  <c r="O183" i="1"/>
  <c r="L183" i="1"/>
  <c r="K183" i="1"/>
  <c r="H183" i="1"/>
  <c r="G183" i="1"/>
  <c r="D183" i="1"/>
  <c r="Q182" i="1"/>
  <c r="O182" i="1"/>
  <c r="N182" i="1"/>
  <c r="M182" i="1"/>
  <c r="K182" i="1"/>
  <c r="J182" i="1"/>
  <c r="I182" i="1"/>
  <c r="G182" i="1"/>
  <c r="F182" i="1"/>
  <c r="E182" i="1"/>
  <c r="Q181" i="1"/>
  <c r="P181" i="1"/>
  <c r="N181" i="1"/>
  <c r="M181" i="1"/>
  <c r="L181" i="1"/>
  <c r="J181" i="1"/>
  <c r="I181" i="1"/>
  <c r="H181" i="1"/>
  <c r="F181" i="1"/>
  <c r="E181" i="1"/>
  <c r="D181" i="1"/>
  <c r="Q180" i="1"/>
  <c r="P180" i="1"/>
  <c r="O180" i="1"/>
  <c r="M180" i="1"/>
  <c r="L180" i="1"/>
  <c r="K180" i="1"/>
  <c r="I180" i="1"/>
  <c r="H180" i="1"/>
  <c r="G180" i="1"/>
  <c r="E180" i="1"/>
  <c r="D180" i="1"/>
  <c r="P179" i="1"/>
  <c r="O179" i="1"/>
  <c r="L179" i="1"/>
  <c r="K179" i="1"/>
  <c r="H179" i="1"/>
  <c r="G179" i="1"/>
  <c r="D179" i="1"/>
  <c r="Q178" i="1"/>
  <c r="O178" i="1"/>
  <c r="N178" i="1"/>
  <c r="M178" i="1"/>
  <c r="K178" i="1"/>
  <c r="J178" i="1"/>
  <c r="I178" i="1"/>
  <c r="G178" i="1"/>
  <c r="F178" i="1"/>
  <c r="E178" i="1"/>
  <c r="Q177" i="1"/>
  <c r="P177" i="1"/>
  <c r="N177" i="1"/>
  <c r="M177" i="1"/>
  <c r="L177" i="1"/>
  <c r="K177" i="1"/>
  <c r="J177" i="1"/>
  <c r="I177" i="1"/>
  <c r="H177" i="1"/>
  <c r="G177" i="1"/>
  <c r="F177" i="1"/>
  <c r="E177" i="1"/>
  <c r="D177" i="1"/>
  <c r="Q176" i="1"/>
  <c r="P176" i="1"/>
  <c r="O176" i="1"/>
  <c r="M176" i="1"/>
  <c r="L176" i="1"/>
  <c r="K176" i="1"/>
  <c r="I176" i="1"/>
  <c r="H176" i="1"/>
  <c r="G176" i="1"/>
  <c r="E176" i="1"/>
  <c r="D176" i="1"/>
  <c r="P175" i="1"/>
  <c r="O175" i="1"/>
  <c r="L175" i="1"/>
  <c r="K175" i="1"/>
  <c r="H175" i="1"/>
  <c r="G175" i="1"/>
  <c r="D175" i="1"/>
  <c r="Q174" i="1"/>
  <c r="O174" i="1"/>
  <c r="N174" i="1"/>
  <c r="M174" i="1"/>
  <c r="K174" i="1"/>
  <c r="J174" i="1"/>
  <c r="I174" i="1"/>
  <c r="G174" i="1"/>
  <c r="F174" i="1"/>
  <c r="E174" i="1"/>
  <c r="Q173" i="1"/>
  <c r="P173" i="1"/>
  <c r="N173" i="1"/>
  <c r="M173" i="1"/>
  <c r="L173" i="1"/>
  <c r="J173" i="1"/>
  <c r="I173" i="1"/>
  <c r="H173" i="1"/>
  <c r="F173" i="1"/>
  <c r="E173" i="1"/>
  <c r="D173" i="1"/>
  <c r="Q172" i="1"/>
  <c r="P172" i="1"/>
  <c r="O172" i="1"/>
  <c r="M172" i="1"/>
  <c r="L172" i="1"/>
  <c r="K172" i="1"/>
  <c r="I172" i="1"/>
  <c r="H172" i="1"/>
  <c r="G172" i="1"/>
  <c r="E172" i="1"/>
  <c r="D172" i="1"/>
  <c r="P171" i="1"/>
  <c r="O171" i="1"/>
  <c r="L171" i="1"/>
  <c r="K171" i="1"/>
  <c r="H171" i="1"/>
  <c r="G171" i="1"/>
  <c r="E171" i="1"/>
  <c r="D171" i="1"/>
  <c r="Q170" i="1"/>
  <c r="O170" i="1"/>
  <c r="N170" i="1"/>
  <c r="M170" i="1"/>
  <c r="K170" i="1"/>
  <c r="J170" i="1"/>
  <c r="I170" i="1"/>
  <c r="G170" i="1"/>
  <c r="F170" i="1"/>
  <c r="E170" i="1"/>
  <c r="Q169" i="1"/>
  <c r="P169" i="1"/>
  <c r="N169" i="1"/>
  <c r="M169" i="1"/>
  <c r="L169" i="1"/>
  <c r="J169" i="1"/>
  <c r="I169" i="1"/>
  <c r="H169" i="1"/>
  <c r="F169" i="1"/>
  <c r="E169" i="1"/>
  <c r="D169" i="1"/>
  <c r="Q168" i="1"/>
  <c r="P168" i="1"/>
  <c r="O168" i="1"/>
  <c r="M168" i="1"/>
  <c r="L168" i="1"/>
  <c r="K168" i="1"/>
  <c r="I168" i="1"/>
  <c r="H168" i="1"/>
  <c r="G168" i="1"/>
  <c r="E168" i="1"/>
  <c r="D168" i="1"/>
  <c r="P167" i="1"/>
  <c r="O167" i="1"/>
  <c r="L167" i="1"/>
  <c r="K167" i="1"/>
  <c r="H167" i="1"/>
  <c r="G167" i="1"/>
  <c r="D167" i="1"/>
  <c r="Q166" i="1"/>
  <c r="O166" i="1"/>
  <c r="N166" i="1"/>
  <c r="M166" i="1"/>
  <c r="K166" i="1"/>
  <c r="J166" i="1"/>
  <c r="I166" i="1"/>
  <c r="G166" i="1"/>
  <c r="F166" i="1"/>
  <c r="E166" i="1"/>
  <c r="Q165" i="1"/>
  <c r="P165" i="1"/>
  <c r="N165" i="1"/>
  <c r="M165" i="1"/>
  <c r="L165" i="1"/>
  <c r="J165" i="1"/>
  <c r="I165" i="1"/>
  <c r="H165" i="1"/>
  <c r="F165" i="1"/>
  <c r="E165" i="1"/>
  <c r="D165" i="1"/>
  <c r="Q164" i="1"/>
  <c r="P164" i="1"/>
  <c r="O164" i="1"/>
  <c r="M164" i="1"/>
  <c r="L164" i="1"/>
  <c r="K164" i="1"/>
  <c r="I164" i="1"/>
  <c r="H164" i="1"/>
  <c r="G164" i="1"/>
  <c r="E164" i="1"/>
  <c r="D164" i="1"/>
  <c r="P163" i="1"/>
  <c r="O163" i="1"/>
  <c r="M163" i="1"/>
  <c r="L163" i="1"/>
  <c r="K163" i="1"/>
  <c r="H163" i="1"/>
  <c r="G163" i="1"/>
  <c r="D163" i="1"/>
  <c r="Q162" i="1"/>
  <c r="O162" i="1"/>
  <c r="N162" i="1"/>
  <c r="M162" i="1"/>
  <c r="K162" i="1"/>
  <c r="J162" i="1"/>
  <c r="I162" i="1"/>
  <c r="G162" i="1"/>
  <c r="F162" i="1"/>
  <c r="E162" i="1"/>
  <c r="Q161" i="1"/>
  <c r="P161" i="1"/>
  <c r="N161" i="1"/>
  <c r="M161" i="1"/>
  <c r="L161" i="1"/>
  <c r="J161" i="1"/>
  <c r="I161" i="1"/>
  <c r="H161" i="1"/>
  <c r="F161" i="1"/>
  <c r="E161" i="1"/>
  <c r="D161" i="1"/>
  <c r="Q160" i="1"/>
  <c r="P160" i="1"/>
  <c r="O160" i="1"/>
  <c r="M160" i="1"/>
  <c r="L160" i="1"/>
  <c r="K160" i="1"/>
  <c r="I160" i="1"/>
  <c r="H160" i="1"/>
  <c r="G160" i="1"/>
  <c r="E160" i="1"/>
  <c r="D160" i="1"/>
  <c r="P159" i="1"/>
  <c r="O159" i="1"/>
  <c r="L159" i="1"/>
  <c r="K159" i="1"/>
  <c r="H159" i="1"/>
  <c r="G159" i="1"/>
  <c r="D159" i="1"/>
  <c r="Q158" i="1"/>
  <c r="O158" i="1"/>
  <c r="N158" i="1"/>
  <c r="M158" i="1"/>
  <c r="K158" i="1"/>
  <c r="J158" i="1"/>
  <c r="I158" i="1"/>
  <c r="G158" i="1"/>
  <c r="F158" i="1"/>
  <c r="E158" i="1"/>
  <c r="Q157" i="1"/>
  <c r="P157" i="1"/>
  <c r="N157" i="1"/>
  <c r="M157" i="1"/>
  <c r="L157" i="1"/>
  <c r="J157" i="1"/>
  <c r="I157" i="1"/>
  <c r="H157" i="1"/>
  <c r="F157" i="1"/>
  <c r="E157" i="1"/>
  <c r="D157" i="1"/>
  <c r="Q156" i="1"/>
  <c r="P156" i="1"/>
  <c r="O156" i="1"/>
  <c r="M156" i="1"/>
  <c r="L156" i="1"/>
  <c r="K156" i="1"/>
  <c r="I156" i="1"/>
  <c r="H156" i="1"/>
  <c r="G156" i="1"/>
  <c r="E156" i="1"/>
  <c r="D156" i="1"/>
  <c r="P155" i="1"/>
  <c r="O155" i="1"/>
  <c r="L155" i="1"/>
  <c r="K155" i="1"/>
  <c r="H155" i="1"/>
  <c r="G155" i="1"/>
  <c r="D155" i="1"/>
  <c r="Q154" i="1"/>
  <c r="O154" i="1"/>
  <c r="N154" i="1"/>
  <c r="M154" i="1"/>
  <c r="K154" i="1"/>
  <c r="J154" i="1"/>
  <c r="I154" i="1"/>
  <c r="G154" i="1"/>
  <c r="F154" i="1"/>
  <c r="E154" i="1"/>
  <c r="Q153" i="1"/>
  <c r="P153" i="1"/>
  <c r="N153" i="1"/>
  <c r="M153" i="1"/>
  <c r="L153" i="1"/>
  <c r="J153" i="1"/>
  <c r="I153" i="1"/>
  <c r="H153" i="1"/>
  <c r="F153" i="1"/>
  <c r="E153" i="1"/>
  <c r="D153" i="1"/>
  <c r="Q152" i="1"/>
  <c r="P152" i="1"/>
  <c r="O152" i="1"/>
  <c r="M152" i="1"/>
  <c r="L152" i="1"/>
  <c r="K152" i="1"/>
  <c r="I152" i="1"/>
  <c r="H152" i="1"/>
  <c r="G152" i="1"/>
  <c r="E152" i="1"/>
  <c r="D152" i="1"/>
  <c r="Q151" i="1"/>
  <c r="P151" i="1"/>
  <c r="O151" i="1"/>
  <c r="L151" i="1"/>
  <c r="K151" i="1"/>
  <c r="H151" i="1"/>
  <c r="G151" i="1"/>
  <c r="D151" i="1"/>
  <c r="Q150" i="1"/>
  <c r="O150" i="1"/>
  <c r="N150" i="1"/>
  <c r="M150" i="1"/>
  <c r="K150" i="1"/>
  <c r="J150" i="1"/>
  <c r="I150" i="1"/>
  <c r="G150" i="1"/>
  <c r="F150" i="1"/>
  <c r="E150" i="1"/>
  <c r="Q149" i="1"/>
  <c r="P149" i="1"/>
  <c r="N149" i="1"/>
  <c r="M149" i="1"/>
  <c r="L149" i="1"/>
  <c r="J149" i="1"/>
  <c r="I149" i="1"/>
  <c r="H149" i="1"/>
  <c r="F149" i="1"/>
  <c r="E149" i="1"/>
  <c r="D149" i="1"/>
  <c r="Q148" i="1"/>
  <c r="P148" i="1"/>
  <c r="O148" i="1"/>
  <c r="M148" i="1"/>
  <c r="L148" i="1"/>
  <c r="K148" i="1"/>
  <c r="I148" i="1"/>
  <c r="H148" i="1"/>
  <c r="G148" i="1"/>
  <c r="E148" i="1"/>
  <c r="D148" i="1"/>
  <c r="P147" i="1"/>
  <c r="O147" i="1"/>
  <c r="L147" i="1"/>
  <c r="K147" i="1"/>
  <c r="H147" i="1"/>
  <c r="G147" i="1"/>
  <c r="D147" i="1"/>
  <c r="Q146" i="1"/>
  <c r="O146" i="1"/>
  <c r="N146" i="1"/>
  <c r="M146" i="1"/>
  <c r="K146" i="1"/>
  <c r="J146" i="1"/>
  <c r="I146" i="1"/>
  <c r="G146" i="1"/>
  <c r="F146" i="1"/>
  <c r="E146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Q144" i="1"/>
  <c r="P144" i="1"/>
  <c r="O144" i="1"/>
  <c r="M144" i="1"/>
  <c r="L144" i="1"/>
  <c r="K144" i="1"/>
  <c r="I144" i="1"/>
  <c r="H144" i="1"/>
  <c r="G144" i="1"/>
  <c r="E144" i="1"/>
  <c r="D144" i="1"/>
  <c r="P143" i="1"/>
  <c r="O143" i="1"/>
  <c r="L143" i="1"/>
  <c r="K143" i="1"/>
  <c r="H143" i="1"/>
  <c r="G143" i="1"/>
  <c r="D143" i="1"/>
  <c r="Q142" i="1"/>
  <c r="O142" i="1"/>
  <c r="N142" i="1"/>
  <c r="M142" i="1"/>
  <c r="K142" i="1"/>
  <c r="J142" i="1"/>
  <c r="I142" i="1"/>
  <c r="G142" i="1"/>
  <c r="F142" i="1"/>
  <c r="E142" i="1"/>
  <c r="Q141" i="1"/>
  <c r="P141" i="1"/>
  <c r="N141" i="1"/>
  <c r="M141" i="1"/>
  <c r="L141" i="1"/>
  <c r="J141" i="1"/>
  <c r="I141" i="1"/>
  <c r="H141" i="1"/>
  <c r="F141" i="1"/>
  <c r="E141" i="1"/>
  <c r="D141" i="1"/>
  <c r="Q140" i="1"/>
  <c r="P140" i="1"/>
  <c r="O140" i="1"/>
  <c r="M140" i="1"/>
  <c r="L140" i="1"/>
  <c r="K140" i="1"/>
  <c r="I140" i="1"/>
  <c r="H140" i="1"/>
  <c r="G140" i="1"/>
  <c r="E140" i="1"/>
  <c r="D140" i="1"/>
  <c r="P139" i="1"/>
  <c r="O139" i="1"/>
  <c r="L139" i="1"/>
  <c r="K139" i="1"/>
  <c r="H139" i="1"/>
  <c r="G139" i="1"/>
  <c r="E139" i="1"/>
  <c r="D139" i="1"/>
  <c r="Q138" i="1"/>
  <c r="O138" i="1"/>
  <c r="N138" i="1"/>
  <c r="M138" i="1"/>
  <c r="K138" i="1"/>
  <c r="J138" i="1"/>
  <c r="I138" i="1"/>
  <c r="G138" i="1"/>
  <c r="F138" i="1"/>
  <c r="E138" i="1"/>
  <c r="Q137" i="1"/>
  <c r="P137" i="1"/>
  <c r="N137" i="1"/>
  <c r="M137" i="1"/>
  <c r="L137" i="1"/>
  <c r="J137" i="1"/>
  <c r="I137" i="1"/>
  <c r="H137" i="1"/>
  <c r="F137" i="1"/>
  <c r="E137" i="1"/>
  <c r="D137" i="1"/>
  <c r="Q136" i="1"/>
  <c r="P136" i="1"/>
  <c r="O136" i="1"/>
  <c r="M136" i="1"/>
  <c r="L136" i="1"/>
  <c r="K136" i="1"/>
  <c r="I136" i="1"/>
  <c r="H136" i="1"/>
  <c r="G136" i="1"/>
  <c r="E136" i="1"/>
  <c r="D136" i="1"/>
  <c r="P135" i="1"/>
  <c r="O135" i="1"/>
  <c r="L135" i="1"/>
  <c r="K135" i="1"/>
  <c r="H135" i="1"/>
  <c r="G135" i="1"/>
  <c r="D135" i="1"/>
  <c r="Q134" i="1"/>
  <c r="O134" i="1"/>
  <c r="N134" i="1"/>
  <c r="M134" i="1"/>
  <c r="K134" i="1"/>
  <c r="J134" i="1"/>
  <c r="I134" i="1"/>
  <c r="G134" i="1"/>
  <c r="F134" i="1"/>
  <c r="E134" i="1"/>
  <c r="Q133" i="1"/>
  <c r="P133" i="1"/>
  <c r="N133" i="1"/>
  <c r="M133" i="1"/>
  <c r="L133" i="1"/>
  <c r="J133" i="1"/>
  <c r="I133" i="1"/>
  <c r="H133" i="1"/>
  <c r="F133" i="1"/>
  <c r="E133" i="1"/>
  <c r="D133" i="1"/>
  <c r="Q132" i="1"/>
  <c r="P132" i="1"/>
  <c r="O132" i="1"/>
  <c r="M132" i="1"/>
  <c r="L132" i="1"/>
  <c r="K132" i="1"/>
  <c r="I132" i="1"/>
  <c r="H132" i="1"/>
  <c r="G132" i="1"/>
  <c r="E132" i="1"/>
  <c r="D132" i="1"/>
  <c r="P131" i="1"/>
  <c r="O131" i="1"/>
  <c r="M131" i="1"/>
  <c r="L131" i="1"/>
  <c r="K131" i="1"/>
  <c r="H131" i="1"/>
  <c r="G131" i="1"/>
  <c r="D131" i="1"/>
  <c r="Q130" i="1"/>
  <c r="O130" i="1"/>
  <c r="N130" i="1"/>
  <c r="M130" i="1"/>
  <c r="K130" i="1"/>
  <c r="J130" i="1"/>
  <c r="I130" i="1"/>
  <c r="G130" i="1"/>
  <c r="F130" i="1"/>
  <c r="E130" i="1"/>
  <c r="Q129" i="1"/>
  <c r="P129" i="1"/>
  <c r="N129" i="1"/>
  <c r="M129" i="1"/>
  <c r="L129" i="1"/>
  <c r="J129" i="1"/>
  <c r="I129" i="1"/>
  <c r="H129" i="1"/>
  <c r="F129" i="1"/>
  <c r="E129" i="1"/>
  <c r="D129" i="1"/>
  <c r="Q128" i="1"/>
  <c r="P128" i="1"/>
  <c r="O128" i="1"/>
  <c r="M128" i="1"/>
  <c r="L128" i="1"/>
  <c r="K128" i="1"/>
  <c r="I128" i="1"/>
  <c r="H128" i="1"/>
  <c r="G128" i="1"/>
  <c r="E128" i="1"/>
  <c r="D128" i="1"/>
  <c r="P127" i="1"/>
  <c r="O127" i="1"/>
  <c r="L127" i="1"/>
  <c r="K127" i="1"/>
  <c r="H127" i="1"/>
  <c r="G127" i="1"/>
  <c r="D127" i="1"/>
  <c r="Q126" i="1"/>
  <c r="O126" i="1"/>
  <c r="N126" i="1"/>
  <c r="M126" i="1"/>
  <c r="K126" i="1"/>
  <c r="J126" i="1"/>
  <c r="I126" i="1"/>
  <c r="G126" i="1"/>
  <c r="F126" i="1"/>
  <c r="E126" i="1"/>
  <c r="Q125" i="1"/>
  <c r="P125" i="1"/>
  <c r="N125" i="1"/>
  <c r="M125" i="1"/>
  <c r="L125" i="1"/>
  <c r="J125" i="1"/>
  <c r="I125" i="1"/>
  <c r="H125" i="1"/>
  <c r="F125" i="1"/>
  <c r="E125" i="1"/>
  <c r="D125" i="1"/>
  <c r="Q124" i="1"/>
  <c r="P124" i="1"/>
  <c r="O124" i="1"/>
  <c r="M124" i="1"/>
  <c r="L124" i="1"/>
  <c r="K124" i="1"/>
  <c r="I124" i="1"/>
  <c r="H124" i="1"/>
  <c r="G124" i="1"/>
  <c r="E124" i="1"/>
  <c r="D124" i="1"/>
  <c r="P123" i="1"/>
  <c r="O123" i="1"/>
  <c r="L123" i="1"/>
  <c r="K123" i="1"/>
  <c r="H123" i="1"/>
  <c r="G123" i="1"/>
  <c r="D123" i="1"/>
  <c r="Q122" i="1"/>
  <c r="O122" i="1"/>
  <c r="N122" i="1"/>
  <c r="M122" i="1"/>
  <c r="K122" i="1"/>
  <c r="J122" i="1"/>
  <c r="I122" i="1"/>
  <c r="G122" i="1"/>
  <c r="F122" i="1"/>
  <c r="E122" i="1"/>
  <c r="Q121" i="1"/>
  <c r="P121" i="1"/>
  <c r="N121" i="1"/>
  <c r="M121" i="1"/>
  <c r="L121" i="1"/>
  <c r="J121" i="1"/>
  <c r="I121" i="1"/>
  <c r="H121" i="1"/>
  <c r="F121" i="1"/>
  <c r="E121" i="1"/>
  <c r="D121" i="1"/>
  <c r="Q120" i="1"/>
  <c r="P120" i="1"/>
  <c r="O120" i="1"/>
  <c r="M120" i="1"/>
  <c r="L120" i="1"/>
  <c r="K120" i="1"/>
  <c r="I120" i="1"/>
  <c r="H120" i="1"/>
  <c r="G120" i="1"/>
  <c r="E120" i="1"/>
  <c r="D120" i="1"/>
  <c r="Q119" i="1"/>
  <c r="P119" i="1"/>
  <c r="O119" i="1"/>
  <c r="L119" i="1"/>
  <c r="K119" i="1"/>
  <c r="H119" i="1"/>
  <c r="G119" i="1"/>
  <c r="D119" i="1"/>
  <c r="Q118" i="1"/>
  <c r="O118" i="1"/>
  <c r="N118" i="1"/>
  <c r="M118" i="1"/>
  <c r="K118" i="1"/>
  <c r="J118" i="1"/>
  <c r="I118" i="1"/>
  <c r="G118" i="1"/>
  <c r="F118" i="1"/>
  <c r="E118" i="1"/>
  <c r="Q117" i="1"/>
  <c r="P117" i="1"/>
  <c r="N117" i="1"/>
  <c r="M117" i="1"/>
  <c r="L117" i="1"/>
  <c r="J117" i="1"/>
  <c r="I117" i="1"/>
  <c r="H117" i="1"/>
  <c r="F117" i="1"/>
  <c r="E117" i="1"/>
  <c r="D117" i="1"/>
  <c r="Q116" i="1"/>
  <c r="P116" i="1"/>
  <c r="O116" i="1"/>
  <c r="M116" i="1"/>
  <c r="L116" i="1"/>
  <c r="K116" i="1"/>
  <c r="I116" i="1"/>
  <c r="H116" i="1"/>
  <c r="G116" i="1"/>
  <c r="E116" i="1"/>
  <c r="D116" i="1"/>
  <c r="P115" i="1"/>
  <c r="O115" i="1"/>
  <c r="L115" i="1"/>
  <c r="K115" i="1"/>
  <c r="H115" i="1"/>
  <c r="G115" i="1"/>
  <c r="D115" i="1"/>
  <c r="Q114" i="1"/>
  <c r="O114" i="1"/>
  <c r="N114" i="1"/>
  <c r="M114" i="1"/>
  <c r="K114" i="1"/>
  <c r="J114" i="1"/>
  <c r="I114" i="1"/>
  <c r="G114" i="1"/>
  <c r="F114" i="1"/>
  <c r="E114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Q112" i="1"/>
  <c r="P112" i="1"/>
  <c r="O112" i="1"/>
  <c r="M112" i="1"/>
  <c r="L112" i="1"/>
  <c r="K112" i="1"/>
  <c r="I112" i="1"/>
  <c r="H112" i="1"/>
  <c r="G112" i="1"/>
  <c r="E112" i="1"/>
  <c r="D112" i="1"/>
  <c r="P111" i="1"/>
  <c r="O111" i="1"/>
  <c r="L111" i="1"/>
  <c r="K111" i="1"/>
  <c r="H111" i="1"/>
  <c r="G111" i="1"/>
  <c r="D111" i="1"/>
  <c r="Q110" i="1"/>
  <c r="O110" i="1"/>
  <c r="N110" i="1"/>
  <c r="M110" i="1"/>
  <c r="K110" i="1"/>
  <c r="J110" i="1"/>
  <c r="I110" i="1"/>
  <c r="G110" i="1"/>
  <c r="F110" i="1"/>
  <c r="E110" i="1"/>
  <c r="Q109" i="1"/>
  <c r="P109" i="1"/>
  <c r="N109" i="1"/>
  <c r="M109" i="1"/>
  <c r="L109" i="1"/>
  <c r="J109" i="1"/>
  <c r="I109" i="1"/>
  <c r="H109" i="1"/>
  <c r="F109" i="1"/>
  <c r="E109" i="1"/>
  <c r="D109" i="1"/>
  <c r="Q108" i="1"/>
  <c r="P108" i="1"/>
  <c r="O108" i="1"/>
  <c r="M108" i="1"/>
  <c r="L108" i="1"/>
  <c r="K108" i="1"/>
  <c r="I108" i="1"/>
  <c r="H108" i="1"/>
  <c r="G108" i="1"/>
  <c r="E108" i="1"/>
  <c r="D108" i="1"/>
  <c r="P107" i="1"/>
  <c r="O107" i="1"/>
  <c r="L107" i="1"/>
  <c r="K107" i="1"/>
  <c r="H107" i="1"/>
  <c r="G107" i="1"/>
  <c r="E107" i="1"/>
  <c r="D107" i="1"/>
  <c r="Q106" i="1"/>
  <c r="O106" i="1"/>
  <c r="N106" i="1"/>
  <c r="M106" i="1"/>
  <c r="K106" i="1"/>
  <c r="J106" i="1"/>
  <c r="I106" i="1"/>
  <c r="G106" i="1"/>
  <c r="F106" i="1"/>
  <c r="E106" i="1"/>
  <c r="Q105" i="1"/>
  <c r="P105" i="1"/>
  <c r="N105" i="1"/>
  <c r="M105" i="1"/>
  <c r="L105" i="1"/>
  <c r="J105" i="1"/>
  <c r="I105" i="1"/>
  <c r="H105" i="1"/>
  <c r="F105" i="1"/>
  <c r="E105" i="1"/>
  <c r="D105" i="1"/>
  <c r="Q104" i="1"/>
  <c r="P104" i="1"/>
  <c r="O104" i="1"/>
  <c r="M104" i="1"/>
  <c r="L104" i="1"/>
  <c r="K104" i="1"/>
  <c r="I104" i="1"/>
  <c r="H104" i="1"/>
  <c r="G104" i="1"/>
  <c r="E104" i="1"/>
  <c r="D104" i="1"/>
  <c r="P103" i="1"/>
  <c r="O103" i="1"/>
  <c r="L103" i="1"/>
  <c r="K103" i="1"/>
  <c r="H103" i="1"/>
  <c r="G103" i="1"/>
  <c r="D103" i="1"/>
  <c r="Q102" i="1"/>
  <c r="O102" i="1"/>
  <c r="N102" i="1"/>
  <c r="M102" i="1"/>
  <c r="K102" i="1"/>
  <c r="J102" i="1"/>
  <c r="I102" i="1"/>
  <c r="G102" i="1"/>
  <c r="F102" i="1"/>
  <c r="E102" i="1"/>
  <c r="Q101" i="1"/>
  <c r="P101" i="1"/>
  <c r="N101" i="1"/>
  <c r="M101" i="1"/>
  <c r="L101" i="1"/>
  <c r="J101" i="1"/>
  <c r="I101" i="1"/>
  <c r="H101" i="1"/>
  <c r="F101" i="1"/>
  <c r="E101" i="1"/>
  <c r="D101" i="1"/>
  <c r="Q100" i="1"/>
  <c r="P100" i="1"/>
  <c r="O100" i="1"/>
  <c r="M100" i="1"/>
  <c r="L100" i="1"/>
  <c r="K100" i="1"/>
  <c r="I100" i="1"/>
  <c r="H100" i="1"/>
  <c r="G100" i="1"/>
  <c r="E100" i="1"/>
  <c r="D100" i="1"/>
  <c r="P99" i="1"/>
  <c r="O99" i="1"/>
  <c r="M99" i="1"/>
  <c r="L99" i="1"/>
  <c r="K99" i="1"/>
  <c r="H99" i="1"/>
  <c r="G99" i="1"/>
  <c r="D99" i="1"/>
  <c r="Q98" i="1"/>
  <c r="O98" i="1"/>
  <c r="N98" i="1"/>
  <c r="M98" i="1"/>
  <c r="K98" i="1"/>
  <c r="J98" i="1"/>
  <c r="I98" i="1"/>
  <c r="G98" i="1"/>
  <c r="F98" i="1"/>
  <c r="E98" i="1"/>
  <c r="Q97" i="1"/>
  <c r="P97" i="1"/>
  <c r="N97" i="1"/>
  <c r="M97" i="1"/>
  <c r="L97" i="1"/>
  <c r="J97" i="1"/>
  <c r="I97" i="1"/>
  <c r="H97" i="1"/>
  <c r="F97" i="1"/>
  <c r="E97" i="1"/>
  <c r="D97" i="1"/>
  <c r="Q96" i="1"/>
  <c r="P96" i="1"/>
  <c r="O96" i="1"/>
  <c r="M96" i="1"/>
  <c r="L96" i="1"/>
  <c r="K96" i="1"/>
  <c r="I96" i="1"/>
  <c r="H96" i="1"/>
  <c r="G96" i="1"/>
  <c r="E96" i="1"/>
  <c r="D96" i="1"/>
  <c r="P95" i="1"/>
  <c r="O95" i="1"/>
  <c r="L95" i="1"/>
  <c r="K95" i="1"/>
  <c r="H95" i="1"/>
  <c r="G95" i="1"/>
  <c r="D95" i="1"/>
  <c r="Q94" i="1"/>
  <c r="O94" i="1"/>
  <c r="N94" i="1"/>
  <c r="M94" i="1"/>
  <c r="K94" i="1"/>
  <c r="J94" i="1"/>
  <c r="I94" i="1"/>
  <c r="G94" i="1"/>
  <c r="F94" i="1"/>
  <c r="E94" i="1"/>
  <c r="Q93" i="1"/>
  <c r="P93" i="1"/>
  <c r="N93" i="1"/>
  <c r="M93" i="1"/>
  <c r="L93" i="1"/>
  <c r="J93" i="1"/>
  <c r="I93" i="1"/>
  <c r="H93" i="1"/>
  <c r="F93" i="1"/>
  <c r="E93" i="1"/>
  <c r="D93" i="1"/>
  <c r="Q92" i="1"/>
  <c r="P92" i="1"/>
  <c r="O92" i="1"/>
  <c r="M92" i="1"/>
  <c r="L92" i="1"/>
  <c r="K92" i="1"/>
  <c r="I92" i="1"/>
  <c r="H92" i="1"/>
  <c r="G92" i="1"/>
  <c r="E92" i="1"/>
  <c r="D92" i="1"/>
  <c r="P91" i="1"/>
  <c r="O91" i="1"/>
  <c r="L91" i="1"/>
  <c r="K91" i="1"/>
  <c r="H91" i="1"/>
  <c r="G91" i="1"/>
  <c r="D91" i="1"/>
  <c r="Q90" i="1"/>
  <c r="O90" i="1"/>
  <c r="N90" i="1"/>
  <c r="M90" i="1"/>
  <c r="K90" i="1"/>
  <c r="J90" i="1"/>
  <c r="I90" i="1"/>
  <c r="G90" i="1"/>
  <c r="F90" i="1"/>
  <c r="E90" i="1"/>
  <c r="Q89" i="1"/>
  <c r="P89" i="1"/>
  <c r="N89" i="1"/>
  <c r="M89" i="1"/>
  <c r="L89" i="1"/>
  <c r="J89" i="1"/>
  <c r="I89" i="1"/>
  <c r="H89" i="1"/>
  <c r="F89" i="1"/>
  <c r="E89" i="1"/>
  <c r="D89" i="1"/>
  <c r="Q88" i="1"/>
  <c r="P88" i="1"/>
  <c r="O88" i="1"/>
  <c r="M88" i="1"/>
  <c r="L88" i="1"/>
  <c r="K88" i="1"/>
  <c r="I88" i="1"/>
  <c r="H88" i="1"/>
  <c r="G88" i="1"/>
  <c r="E88" i="1"/>
  <c r="D88" i="1"/>
  <c r="Q87" i="1"/>
  <c r="P87" i="1"/>
  <c r="O87" i="1"/>
  <c r="L87" i="1"/>
  <c r="K87" i="1"/>
  <c r="H87" i="1"/>
  <c r="G87" i="1"/>
  <c r="D87" i="1"/>
  <c r="Q86" i="1"/>
  <c r="O86" i="1"/>
  <c r="N86" i="1"/>
  <c r="M86" i="1"/>
  <c r="K86" i="1"/>
  <c r="J86" i="1"/>
  <c r="I86" i="1"/>
  <c r="G86" i="1"/>
  <c r="F86" i="1"/>
  <c r="E86" i="1"/>
  <c r="Q85" i="1"/>
  <c r="P85" i="1"/>
  <c r="N85" i="1"/>
  <c r="M85" i="1"/>
  <c r="L85" i="1"/>
  <c r="J85" i="1"/>
  <c r="I85" i="1"/>
  <c r="H85" i="1"/>
  <c r="F85" i="1"/>
  <c r="E85" i="1"/>
  <c r="D85" i="1"/>
  <c r="Q84" i="1"/>
  <c r="P84" i="1"/>
  <c r="O84" i="1"/>
  <c r="M84" i="1"/>
  <c r="L84" i="1"/>
  <c r="K84" i="1"/>
  <c r="I84" i="1"/>
  <c r="H84" i="1"/>
  <c r="G84" i="1"/>
  <c r="E84" i="1"/>
  <c r="D84" i="1"/>
  <c r="P83" i="1"/>
  <c r="O83" i="1"/>
  <c r="L83" i="1"/>
  <c r="K83" i="1"/>
  <c r="H83" i="1"/>
  <c r="G83" i="1"/>
  <c r="D83" i="1"/>
  <c r="Q82" i="1"/>
  <c r="O82" i="1"/>
  <c r="N82" i="1"/>
  <c r="M82" i="1"/>
  <c r="K82" i="1"/>
  <c r="J82" i="1"/>
  <c r="I82" i="1"/>
  <c r="G82" i="1"/>
  <c r="F82" i="1"/>
  <c r="E82" i="1"/>
  <c r="Q81" i="1"/>
  <c r="P81" i="1"/>
  <c r="O81" i="1"/>
  <c r="N81" i="1"/>
  <c r="M81" i="1"/>
  <c r="L81" i="1"/>
  <c r="J81" i="1"/>
  <c r="I81" i="1"/>
  <c r="H81" i="1"/>
  <c r="F81" i="1"/>
  <c r="E81" i="1"/>
  <c r="Q80" i="1"/>
  <c r="P80" i="1"/>
  <c r="O80" i="1"/>
  <c r="M80" i="1"/>
  <c r="L80" i="1"/>
  <c r="K80" i="1"/>
  <c r="I80" i="1"/>
  <c r="H80" i="1"/>
  <c r="G80" i="1"/>
  <c r="E80" i="1"/>
  <c r="D80" i="1"/>
  <c r="P79" i="1"/>
  <c r="O79" i="1"/>
  <c r="N79" i="1"/>
  <c r="L79" i="1"/>
  <c r="K79" i="1"/>
  <c r="H79" i="1"/>
  <c r="G79" i="1"/>
  <c r="F79" i="1"/>
  <c r="D79" i="1"/>
  <c r="Q78" i="1"/>
  <c r="O78" i="1"/>
  <c r="N78" i="1"/>
  <c r="K78" i="1"/>
  <c r="J78" i="1"/>
  <c r="I78" i="1"/>
  <c r="G78" i="1"/>
  <c r="F78" i="1"/>
  <c r="E78" i="1"/>
  <c r="Q77" i="1"/>
  <c r="O77" i="1"/>
  <c r="N77" i="1"/>
  <c r="M77" i="1"/>
  <c r="K77" i="1"/>
  <c r="J77" i="1"/>
  <c r="I77" i="1"/>
  <c r="G77" i="1"/>
  <c r="F77" i="1"/>
  <c r="E77" i="1"/>
  <c r="Q76" i="1"/>
  <c r="P76" i="1"/>
  <c r="N76" i="1"/>
  <c r="M76" i="1"/>
  <c r="L76" i="1"/>
  <c r="J76" i="1"/>
  <c r="I76" i="1"/>
  <c r="F76" i="1"/>
  <c r="E76" i="1"/>
  <c r="D76" i="1"/>
  <c r="Q75" i="1"/>
  <c r="P75" i="1"/>
  <c r="O75" i="1"/>
  <c r="M75" i="1"/>
  <c r="L75" i="1"/>
  <c r="K75" i="1"/>
  <c r="I75" i="1"/>
  <c r="H75" i="1"/>
  <c r="G75" i="1"/>
  <c r="E75" i="1"/>
  <c r="D75" i="1"/>
  <c r="P74" i="1"/>
  <c r="O74" i="1"/>
  <c r="L74" i="1"/>
  <c r="K74" i="1"/>
  <c r="J74" i="1"/>
  <c r="H74" i="1"/>
  <c r="G74" i="1"/>
  <c r="F74" i="1"/>
  <c r="D74" i="1"/>
  <c r="O73" i="1"/>
  <c r="N73" i="1"/>
  <c r="L73" i="1"/>
  <c r="K73" i="1"/>
  <c r="J73" i="1"/>
  <c r="G73" i="1"/>
  <c r="F73" i="1"/>
  <c r="Q72" i="1"/>
  <c r="P72" i="1"/>
  <c r="N72" i="1"/>
  <c r="M72" i="1"/>
  <c r="L72" i="1"/>
  <c r="J72" i="1"/>
  <c r="I72" i="1"/>
  <c r="H72" i="1"/>
  <c r="F72" i="1"/>
  <c r="E72" i="1"/>
  <c r="Q71" i="1"/>
  <c r="P71" i="1"/>
  <c r="O71" i="1"/>
  <c r="M71" i="1"/>
  <c r="L71" i="1"/>
  <c r="K71" i="1"/>
  <c r="I71" i="1"/>
  <c r="H71" i="1"/>
  <c r="G71" i="1"/>
  <c r="E71" i="1"/>
  <c r="D71" i="1"/>
  <c r="P70" i="1"/>
  <c r="O70" i="1"/>
  <c r="N70" i="1"/>
  <c r="L70" i="1"/>
  <c r="K70" i="1"/>
  <c r="H70" i="1"/>
  <c r="G70" i="1"/>
  <c r="F70" i="1"/>
  <c r="D70" i="1"/>
  <c r="Q69" i="1"/>
  <c r="O69" i="1"/>
  <c r="N69" i="1"/>
  <c r="M69" i="1"/>
  <c r="K69" i="1"/>
  <c r="J69" i="1"/>
  <c r="I69" i="1"/>
  <c r="G69" i="1"/>
  <c r="F69" i="1"/>
  <c r="E69" i="1"/>
  <c r="Q68" i="1"/>
  <c r="N68" i="1"/>
  <c r="M68" i="1"/>
  <c r="L68" i="1"/>
  <c r="J68" i="1"/>
  <c r="I68" i="1"/>
  <c r="H68" i="1"/>
  <c r="F68" i="1"/>
  <c r="E68" i="1"/>
  <c r="D68" i="1"/>
  <c r="Q67" i="1"/>
  <c r="P67" i="1"/>
  <c r="M67" i="1"/>
  <c r="L67" i="1"/>
  <c r="I67" i="1"/>
  <c r="H67" i="1"/>
  <c r="E67" i="1"/>
  <c r="D67" i="1"/>
  <c r="P66" i="1"/>
  <c r="O66" i="1"/>
  <c r="N66" i="1"/>
  <c r="L66" i="1"/>
  <c r="K66" i="1"/>
  <c r="J66" i="1"/>
  <c r="H66" i="1"/>
  <c r="G66" i="1"/>
  <c r="D66" i="1"/>
  <c r="Q65" i="1"/>
  <c r="O65" i="1"/>
  <c r="N65" i="1"/>
  <c r="M65" i="1"/>
  <c r="K65" i="1"/>
  <c r="J65" i="1"/>
  <c r="I65" i="1"/>
  <c r="G65" i="1"/>
  <c r="F65" i="1"/>
  <c r="E65" i="1"/>
  <c r="Q64" i="1"/>
  <c r="P64" i="1"/>
  <c r="N64" i="1"/>
  <c r="M64" i="1"/>
  <c r="J64" i="1"/>
  <c r="I64" i="1"/>
  <c r="H64" i="1"/>
  <c r="F64" i="1"/>
  <c r="E64" i="1"/>
  <c r="D64" i="1"/>
  <c r="Q63" i="1"/>
  <c r="P63" i="1"/>
  <c r="O63" i="1"/>
  <c r="M63" i="1"/>
  <c r="L63" i="1"/>
  <c r="K63" i="1"/>
  <c r="I63" i="1"/>
  <c r="H63" i="1"/>
  <c r="G63" i="1"/>
  <c r="E63" i="1"/>
  <c r="D63" i="1"/>
  <c r="P62" i="1"/>
  <c r="O62" i="1"/>
  <c r="N62" i="1"/>
  <c r="L62" i="1"/>
  <c r="K62" i="1"/>
  <c r="J62" i="1"/>
  <c r="H62" i="1"/>
  <c r="G62" i="1"/>
  <c r="F62" i="1"/>
  <c r="D62" i="1"/>
  <c r="Q61" i="1"/>
  <c r="O61" i="1"/>
  <c r="N61" i="1"/>
  <c r="M61" i="1"/>
  <c r="K61" i="1"/>
  <c r="J61" i="1"/>
  <c r="I61" i="1"/>
  <c r="G61" i="1"/>
  <c r="F61" i="1"/>
  <c r="Q60" i="1"/>
  <c r="P60" i="1"/>
  <c r="N60" i="1"/>
  <c r="M60" i="1"/>
  <c r="L60" i="1"/>
  <c r="J60" i="1"/>
  <c r="I60" i="1"/>
  <c r="F60" i="1"/>
  <c r="E60" i="1"/>
  <c r="D60" i="1"/>
  <c r="Q59" i="1"/>
  <c r="P59" i="1"/>
  <c r="O59" i="1"/>
  <c r="M59" i="1"/>
  <c r="L59" i="1"/>
  <c r="K59" i="1"/>
  <c r="I59" i="1"/>
  <c r="H59" i="1"/>
  <c r="E59" i="1"/>
  <c r="D59" i="1"/>
  <c r="P58" i="1"/>
  <c r="O58" i="1"/>
  <c r="N58" i="1"/>
  <c r="L58" i="1"/>
  <c r="K58" i="1"/>
  <c r="H58" i="1"/>
  <c r="G58" i="1"/>
  <c r="F58" i="1"/>
  <c r="D58" i="1"/>
  <c r="Q57" i="1"/>
  <c r="O57" i="1"/>
  <c r="N57" i="1"/>
  <c r="K57" i="1"/>
  <c r="J57" i="1"/>
  <c r="I57" i="1"/>
  <c r="G57" i="1"/>
  <c r="F57" i="1"/>
  <c r="E57" i="1"/>
  <c r="Q56" i="1"/>
  <c r="N56" i="1"/>
  <c r="M56" i="1"/>
  <c r="L56" i="1"/>
  <c r="J56" i="1"/>
  <c r="I56" i="1"/>
  <c r="H56" i="1"/>
  <c r="F56" i="1"/>
  <c r="E56" i="1"/>
  <c r="D56" i="1"/>
  <c r="Q55" i="1"/>
  <c r="P55" i="1"/>
  <c r="M55" i="1"/>
  <c r="L55" i="1"/>
  <c r="K55" i="1"/>
  <c r="I55" i="1"/>
  <c r="H55" i="1"/>
  <c r="G55" i="1"/>
  <c r="E55" i="1"/>
  <c r="D55" i="1"/>
  <c r="P54" i="1"/>
  <c r="O54" i="1"/>
  <c r="N54" i="1"/>
  <c r="L54" i="1"/>
  <c r="K54" i="1"/>
  <c r="J54" i="1"/>
  <c r="H54" i="1"/>
  <c r="G54" i="1"/>
  <c r="F54" i="1"/>
  <c r="D54" i="1"/>
  <c r="O53" i="1"/>
  <c r="N53" i="1"/>
  <c r="M53" i="1"/>
  <c r="K53" i="1"/>
  <c r="J53" i="1"/>
  <c r="G53" i="1"/>
  <c r="F53" i="1"/>
  <c r="E53" i="1"/>
  <c r="P52" i="1"/>
  <c r="O52" i="1"/>
  <c r="N52" i="1"/>
  <c r="L52" i="1"/>
  <c r="K52" i="1"/>
  <c r="J52" i="1"/>
  <c r="H52" i="1"/>
  <c r="G52" i="1"/>
  <c r="D52" i="1"/>
  <c r="Q51" i="1"/>
  <c r="O51" i="1"/>
  <c r="N51" i="1"/>
  <c r="M51" i="1"/>
  <c r="K51" i="1"/>
  <c r="J51" i="1"/>
  <c r="G51" i="1"/>
  <c r="F51" i="1"/>
  <c r="E51" i="1"/>
  <c r="Q50" i="1"/>
  <c r="P50" i="1"/>
  <c r="N50" i="1"/>
  <c r="M50" i="1"/>
  <c r="L50" i="1"/>
  <c r="J50" i="1"/>
  <c r="I50" i="1"/>
  <c r="H50" i="1"/>
  <c r="F50" i="1"/>
  <c r="E50" i="1"/>
  <c r="D50" i="1"/>
  <c r="Q49" i="1"/>
  <c r="P49" i="1"/>
  <c r="M49" i="1"/>
  <c r="L49" i="1"/>
  <c r="K49" i="1"/>
  <c r="I49" i="1"/>
  <c r="H49" i="1"/>
  <c r="G49" i="1"/>
  <c r="E49" i="1"/>
  <c r="D49" i="1"/>
  <c r="P48" i="1"/>
  <c r="O48" i="1"/>
  <c r="N48" i="1"/>
  <c r="L48" i="1"/>
  <c r="K48" i="1"/>
  <c r="J48" i="1"/>
  <c r="H48" i="1"/>
  <c r="G48" i="1"/>
  <c r="F48" i="1"/>
  <c r="D48" i="1"/>
  <c r="Q47" i="1"/>
  <c r="O47" i="1"/>
  <c r="N47" i="1"/>
  <c r="M47" i="1"/>
  <c r="K47" i="1"/>
  <c r="J47" i="1"/>
  <c r="I47" i="1"/>
  <c r="G47" i="1"/>
  <c r="F47" i="1"/>
  <c r="Q46" i="1"/>
  <c r="P46" i="1"/>
  <c r="N46" i="1"/>
  <c r="M46" i="1"/>
  <c r="L46" i="1"/>
  <c r="J46" i="1"/>
  <c r="I46" i="1"/>
  <c r="F46" i="1"/>
  <c r="E46" i="1"/>
  <c r="D46" i="1"/>
  <c r="Q45" i="1"/>
  <c r="P45" i="1"/>
  <c r="O45" i="1"/>
  <c r="M45" i="1"/>
  <c r="L45" i="1"/>
  <c r="K45" i="1"/>
  <c r="I45" i="1"/>
  <c r="H45" i="1"/>
  <c r="E45" i="1"/>
  <c r="D45" i="1"/>
  <c r="P44" i="1"/>
  <c r="O44" i="1"/>
  <c r="N44" i="1"/>
  <c r="L44" i="1"/>
  <c r="K44" i="1"/>
  <c r="H44" i="1"/>
  <c r="G44" i="1"/>
  <c r="F44" i="1"/>
  <c r="D44" i="1"/>
  <c r="Q43" i="1"/>
  <c r="O43" i="1"/>
  <c r="N43" i="1"/>
  <c r="K43" i="1"/>
  <c r="J43" i="1"/>
  <c r="I43" i="1"/>
  <c r="G43" i="1"/>
  <c r="F43" i="1"/>
  <c r="E43" i="1"/>
  <c r="Q42" i="1"/>
  <c r="N42" i="1"/>
  <c r="M42" i="1"/>
  <c r="L42" i="1"/>
  <c r="J42" i="1"/>
  <c r="I42" i="1"/>
  <c r="H42" i="1"/>
  <c r="F42" i="1"/>
  <c r="E42" i="1"/>
  <c r="D42" i="1"/>
  <c r="Q41" i="1"/>
  <c r="P41" i="1"/>
  <c r="M41" i="1"/>
  <c r="L41" i="1"/>
  <c r="K41" i="1"/>
  <c r="I41" i="1"/>
  <c r="H41" i="1"/>
  <c r="G41" i="1"/>
  <c r="E41" i="1"/>
  <c r="D41" i="1"/>
  <c r="P40" i="1"/>
  <c r="O40" i="1"/>
  <c r="L40" i="1"/>
  <c r="K40" i="1"/>
  <c r="H40" i="1"/>
  <c r="G40" i="1"/>
  <c r="D40" i="1"/>
  <c r="Q39" i="1"/>
  <c r="O39" i="1"/>
  <c r="N39" i="1"/>
  <c r="M39" i="1"/>
  <c r="K39" i="1"/>
  <c r="J39" i="1"/>
  <c r="I39" i="1"/>
  <c r="G39" i="1"/>
  <c r="F39" i="1"/>
  <c r="Q38" i="1"/>
  <c r="P38" i="1"/>
  <c r="N38" i="1"/>
  <c r="M38" i="1"/>
  <c r="L38" i="1"/>
  <c r="J38" i="1"/>
  <c r="I38" i="1"/>
  <c r="H38" i="1"/>
  <c r="F38" i="1"/>
  <c r="E38" i="1"/>
  <c r="D38" i="1"/>
  <c r="Q37" i="1"/>
  <c r="P37" i="1"/>
  <c r="O37" i="1"/>
  <c r="M37" i="1"/>
  <c r="L37" i="1"/>
  <c r="I37" i="1"/>
  <c r="H37" i="1"/>
  <c r="G37" i="1"/>
  <c r="E37" i="1"/>
  <c r="D37" i="1"/>
  <c r="Q36" i="1"/>
  <c r="O36" i="1"/>
  <c r="N36" i="1"/>
  <c r="M36" i="1"/>
  <c r="K36" i="1"/>
  <c r="J36" i="1"/>
  <c r="G36" i="1"/>
  <c r="F36" i="1"/>
  <c r="E36" i="1"/>
  <c r="Q35" i="1"/>
  <c r="P35" i="1"/>
  <c r="N35" i="1"/>
  <c r="M35" i="1"/>
  <c r="J35" i="1"/>
  <c r="I35" i="1"/>
  <c r="H35" i="1"/>
  <c r="F35" i="1"/>
  <c r="E35" i="1"/>
  <c r="D35" i="1"/>
  <c r="Q34" i="1"/>
  <c r="P34" i="1"/>
  <c r="O34" i="1"/>
  <c r="M34" i="1"/>
  <c r="L34" i="1"/>
  <c r="I34" i="1"/>
  <c r="H34" i="1"/>
  <c r="G34" i="1"/>
  <c r="E34" i="1"/>
  <c r="D34" i="1"/>
  <c r="P33" i="1"/>
  <c r="O33" i="1"/>
  <c r="N33" i="1"/>
  <c r="L33" i="1"/>
  <c r="K33" i="1"/>
  <c r="J33" i="1"/>
  <c r="H33" i="1"/>
  <c r="G33" i="1"/>
  <c r="F33" i="1"/>
  <c r="D33" i="1"/>
  <c r="O32" i="1"/>
  <c r="N32" i="1"/>
  <c r="M32" i="1"/>
  <c r="K32" i="1"/>
  <c r="J32" i="1"/>
  <c r="I32" i="1"/>
  <c r="G32" i="1"/>
  <c r="F32" i="1"/>
  <c r="E32" i="1"/>
  <c r="Q31" i="1"/>
  <c r="P31" i="1"/>
  <c r="N31" i="1"/>
  <c r="M31" i="1"/>
  <c r="L31" i="1"/>
  <c r="J31" i="1"/>
  <c r="I31" i="1"/>
  <c r="H31" i="1"/>
  <c r="F31" i="1"/>
  <c r="E31" i="1"/>
  <c r="Q30" i="1"/>
  <c r="P30" i="1"/>
  <c r="O30" i="1"/>
  <c r="M30" i="1"/>
  <c r="L30" i="1"/>
  <c r="K30" i="1"/>
  <c r="I30" i="1"/>
  <c r="H30" i="1"/>
  <c r="G30" i="1"/>
  <c r="E30" i="1"/>
  <c r="D30" i="1"/>
  <c r="P29" i="1"/>
  <c r="O29" i="1"/>
  <c r="N29" i="1"/>
  <c r="L29" i="1"/>
  <c r="K29" i="1"/>
  <c r="J29" i="1"/>
  <c r="H29" i="1"/>
  <c r="G29" i="1"/>
  <c r="F29" i="1"/>
  <c r="D29" i="1"/>
  <c r="Q28" i="1"/>
  <c r="O28" i="1"/>
  <c r="N28" i="1"/>
  <c r="M28" i="1"/>
  <c r="K28" i="1"/>
  <c r="J28" i="1"/>
  <c r="G28" i="1"/>
  <c r="F28" i="1"/>
  <c r="E28" i="1"/>
  <c r="Q27" i="1"/>
  <c r="P27" i="1"/>
  <c r="N27" i="1"/>
  <c r="M27" i="1"/>
  <c r="J27" i="1"/>
  <c r="I27" i="1"/>
  <c r="H27" i="1"/>
  <c r="F27" i="1"/>
  <c r="E27" i="1"/>
  <c r="D27" i="1"/>
  <c r="Q26" i="1"/>
  <c r="P26" i="1"/>
  <c r="O26" i="1"/>
  <c r="M26" i="1"/>
  <c r="L26" i="1"/>
  <c r="I26" i="1"/>
  <c r="H26" i="1"/>
  <c r="G26" i="1"/>
  <c r="E26" i="1"/>
  <c r="D26" i="1"/>
  <c r="P25" i="1"/>
  <c r="O25" i="1"/>
  <c r="N25" i="1"/>
  <c r="L25" i="1"/>
  <c r="K25" i="1"/>
  <c r="J25" i="1"/>
  <c r="H25" i="1"/>
  <c r="G25" i="1"/>
  <c r="F25" i="1"/>
  <c r="D25" i="1"/>
  <c r="O24" i="1"/>
  <c r="N24" i="1"/>
  <c r="M24" i="1"/>
  <c r="K24" i="1"/>
  <c r="J24" i="1"/>
  <c r="I24" i="1"/>
  <c r="G24" i="1"/>
  <c r="F24" i="1"/>
  <c r="E24" i="1"/>
  <c r="Q23" i="1"/>
  <c r="P23" i="1"/>
  <c r="N23" i="1"/>
  <c r="M23" i="1"/>
  <c r="L23" i="1"/>
  <c r="J23" i="1"/>
  <c r="I23" i="1"/>
  <c r="H23" i="1"/>
  <c r="F23" i="1"/>
  <c r="E23" i="1"/>
  <c r="Q22" i="1"/>
  <c r="P22" i="1"/>
  <c r="O22" i="1"/>
  <c r="M22" i="1"/>
  <c r="L22" i="1"/>
  <c r="K22" i="1"/>
  <c r="I22" i="1"/>
  <c r="H22" i="1"/>
  <c r="G22" i="1"/>
  <c r="E22" i="1"/>
  <c r="D22" i="1"/>
  <c r="Q21" i="1"/>
  <c r="P21" i="1"/>
  <c r="N21" i="1"/>
  <c r="M21" i="1"/>
  <c r="J21" i="1"/>
  <c r="I21" i="1"/>
  <c r="H21" i="1"/>
  <c r="F21" i="1"/>
  <c r="E21" i="1"/>
  <c r="D21" i="1"/>
  <c r="Q20" i="1"/>
  <c r="P20" i="1"/>
  <c r="O20" i="1"/>
  <c r="M20" i="1"/>
  <c r="L20" i="1"/>
  <c r="I20" i="1"/>
  <c r="H20" i="1"/>
  <c r="G20" i="1"/>
  <c r="E20" i="1"/>
  <c r="D20" i="1"/>
  <c r="P19" i="1"/>
  <c r="O19" i="1"/>
  <c r="N19" i="1"/>
  <c r="L19" i="1"/>
  <c r="K19" i="1"/>
  <c r="J19" i="1"/>
  <c r="H19" i="1"/>
  <c r="G19" i="1"/>
  <c r="F19" i="1"/>
  <c r="D19" i="1"/>
  <c r="O18" i="1"/>
  <c r="N18" i="1"/>
  <c r="M18" i="1"/>
  <c r="K18" i="1"/>
  <c r="J18" i="1"/>
  <c r="I18" i="1"/>
  <c r="G18" i="1"/>
  <c r="F18" i="1"/>
  <c r="E18" i="1"/>
  <c r="Q17" i="1"/>
  <c r="P17" i="1"/>
  <c r="N17" i="1"/>
  <c r="M17" i="1"/>
  <c r="L17" i="1"/>
  <c r="J17" i="1"/>
  <c r="I17" i="1"/>
  <c r="H17" i="1"/>
  <c r="F17" i="1"/>
  <c r="E17" i="1"/>
  <c r="Q16" i="1"/>
  <c r="P16" i="1"/>
  <c r="O16" i="1"/>
  <c r="M16" i="1"/>
  <c r="L16" i="1"/>
  <c r="K16" i="1"/>
  <c r="I16" i="1"/>
  <c r="H16" i="1"/>
  <c r="G16" i="1"/>
  <c r="E16" i="1"/>
  <c r="D16" i="1"/>
  <c r="P15" i="1"/>
  <c r="O15" i="1"/>
  <c r="N15" i="1"/>
  <c r="L15" i="1"/>
  <c r="K15" i="1"/>
  <c r="J15" i="1"/>
  <c r="H15" i="1"/>
  <c r="G15" i="1"/>
  <c r="F15" i="1"/>
  <c r="D15" i="1"/>
  <c r="Q14" i="1"/>
  <c r="O14" i="1"/>
  <c r="N14" i="1"/>
  <c r="M14" i="1"/>
  <c r="K14" i="1"/>
  <c r="J14" i="1"/>
  <c r="G14" i="1"/>
  <c r="F14" i="1"/>
  <c r="E14" i="1"/>
  <c r="J5" i="1"/>
  <c r="G5" i="1"/>
  <c r="J4" i="1"/>
  <c r="F136" i="3" l="1"/>
  <c r="F136" i="2"/>
  <c r="F140" i="3"/>
  <c r="F140" i="2"/>
  <c r="F152" i="2"/>
  <c r="F152" i="3"/>
  <c r="G153" i="2"/>
  <c r="G153" i="3"/>
  <c r="G157" i="3"/>
  <c r="G157" i="2"/>
  <c r="F164" i="3"/>
  <c r="F164" i="2"/>
  <c r="G169" i="2"/>
  <c r="G169" i="3"/>
  <c r="F180" i="3"/>
  <c r="F180" i="2"/>
  <c r="G181" i="3"/>
  <c r="G181" i="2"/>
  <c r="F184" i="3"/>
  <c r="F184" i="2"/>
  <c r="F188" i="3"/>
  <c r="F188" i="2"/>
  <c r="E207" i="3"/>
  <c r="E207" i="2"/>
  <c r="F208" i="3"/>
  <c r="F208" i="2"/>
  <c r="G209" i="3"/>
  <c r="G209" i="2"/>
  <c r="E211" i="3"/>
  <c r="E211" i="2"/>
  <c r="F212" i="3"/>
  <c r="F212" i="2"/>
  <c r="G213" i="3"/>
  <c r="G213" i="2"/>
  <c r="E215" i="3"/>
  <c r="E215" i="2"/>
  <c r="F216" i="3"/>
  <c r="F216" i="2"/>
  <c r="G217" i="3"/>
  <c r="G217" i="2"/>
  <c r="E219" i="3"/>
  <c r="E219" i="2"/>
  <c r="F220" i="3"/>
  <c r="F220" i="2"/>
  <c r="G221" i="3"/>
  <c r="G221" i="2"/>
  <c r="E223" i="2"/>
  <c r="E223" i="3"/>
  <c r="F224" i="3"/>
  <c r="F224" i="2"/>
  <c r="G225" i="3"/>
  <c r="G225" i="2"/>
  <c r="E227" i="3"/>
  <c r="E227" i="2"/>
  <c r="F228" i="3"/>
  <c r="F228" i="2"/>
  <c r="G229" i="3"/>
  <c r="G229" i="2"/>
  <c r="E231" i="3"/>
  <c r="E231" i="2"/>
  <c r="F232" i="3"/>
  <c r="F232" i="2"/>
  <c r="G233" i="3"/>
  <c r="G233" i="2"/>
  <c r="C238" i="3"/>
  <c r="C238" i="2"/>
  <c r="C246" i="3"/>
  <c r="C246" i="2"/>
  <c r="C250" i="3"/>
  <c r="C250" i="2"/>
  <c r="C254" i="3"/>
  <c r="C254" i="2"/>
  <c r="C262" i="3"/>
  <c r="C262" i="2"/>
  <c r="C266" i="3"/>
  <c r="C266" i="2"/>
  <c r="C270" i="3"/>
  <c r="C270" i="2"/>
  <c r="C278" i="3"/>
  <c r="C278" i="2"/>
  <c r="C282" i="3"/>
  <c r="C282" i="2"/>
  <c r="C286" i="3"/>
  <c r="C286" i="2"/>
  <c r="C290" i="3"/>
  <c r="C290" i="2"/>
  <c r="C294" i="3"/>
  <c r="C294" i="2"/>
  <c r="C298" i="3"/>
  <c r="C298" i="2"/>
  <c r="C302" i="3"/>
  <c r="C302" i="1"/>
  <c r="C306" i="3"/>
  <c r="C306" i="2"/>
  <c r="C306" i="1"/>
  <c r="C310" i="3"/>
  <c r="C310" i="2"/>
  <c r="C310" i="1"/>
  <c r="C314" i="3"/>
  <c r="C314" i="2"/>
  <c r="C314" i="1"/>
  <c r="C318" i="3"/>
  <c r="C318" i="2"/>
  <c r="C318" i="1"/>
  <c r="I15" i="3"/>
  <c r="E322" i="1"/>
  <c r="Q15" i="3"/>
  <c r="M322" i="1"/>
  <c r="U15" i="3"/>
  <c r="Q322" i="1"/>
  <c r="G324" i="3"/>
  <c r="G324" i="2"/>
  <c r="O17" i="3"/>
  <c r="K324" i="1"/>
  <c r="H18" i="3"/>
  <c r="D325" i="1"/>
  <c r="P18" i="3"/>
  <c r="L325" i="1"/>
  <c r="T18" i="3"/>
  <c r="P325" i="1"/>
  <c r="I19" i="3"/>
  <c r="E326" i="1"/>
  <c r="M31" i="3"/>
  <c r="I338" i="1"/>
  <c r="Q31" i="3"/>
  <c r="M338" i="1"/>
  <c r="U31" i="3"/>
  <c r="Q338" i="1"/>
  <c r="G340" i="3"/>
  <c r="G340" i="2"/>
  <c r="O33" i="3"/>
  <c r="K340" i="1"/>
  <c r="S33" i="3"/>
  <c r="O340" i="1"/>
  <c r="H34" i="3"/>
  <c r="D341" i="1"/>
  <c r="P34" i="3"/>
  <c r="L341" i="1"/>
  <c r="M35" i="3"/>
  <c r="I342" i="1"/>
  <c r="F343" i="2"/>
  <c r="F343" i="3"/>
  <c r="Q39" i="3"/>
  <c r="M346" i="1"/>
  <c r="K41" i="3"/>
  <c r="G348" i="1"/>
  <c r="S41" i="3"/>
  <c r="O348" i="1"/>
  <c r="H42" i="3"/>
  <c r="D349" i="1"/>
  <c r="P42" i="3"/>
  <c r="L349" i="1"/>
  <c r="I43" i="3"/>
  <c r="E350" i="1"/>
  <c r="Q43" i="3"/>
  <c r="M350" i="1"/>
  <c r="F351" i="3"/>
  <c r="F351" i="2"/>
  <c r="G352" i="2"/>
  <c r="G352" i="3"/>
  <c r="F355" i="2"/>
  <c r="F355" i="3"/>
  <c r="G356" i="2"/>
  <c r="G356" i="3"/>
  <c r="I35" i="3"/>
  <c r="E342" i="1"/>
  <c r="U35" i="3"/>
  <c r="Q342" i="1"/>
  <c r="K37" i="3"/>
  <c r="G344" i="1"/>
  <c r="S37" i="3"/>
  <c r="O344" i="1"/>
  <c r="L38" i="3"/>
  <c r="H345" i="1"/>
  <c r="T38" i="3"/>
  <c r="P345" i="1"/>
  <c r="M39" i="3"/>
  <c r="I346" i="1"/>
  <c r="F347" i="3"/>
  <c r="F347" i="2"/>
  <c r="E378" i="3"/>
  <c r="E378" i="2"/>
  <c r="F379" i="2"/>
  <c r="F379" i="3"/>
  <c r="G380" i="3"/>
  <c r="G380" i="2"/>
  <c r="E382" i="3"/>
  <c r="E382" i="2"/>
  <c r="F383" i="2"/>
  <c r="F383" i="3"/>
  <c r="G384" i="3"/>
  <c r="G384" i="2"/>
  <c r="E386" i="3"/>
  <c r="E386" i="2"/>
  <c r="F387" i="3"/>
  <c r="F387" i="2"/>
  <c r="G388" i="3"/>
  <c r="G388" i="2"/>
  <c r="E390" i="3"/>
  <c r="E390" i="2"/>
  <c r="F391" i="2"/>
  <c r="F391" i="3"/>
  <c r="G392" i="3"/>
  <c r="G392" i="2"/>
  <c r="E394" i="3"/>
  <c r="E394" i="2"/>
  <c r="F395" i="2"/>
  <c r="F395" i="3"/>
  <c r="G396" i="3"/>
  <c r="G396" i="2"/>
  <c r="E398" i="3"/>
  <c r="E398" i="2"/>
  <c r="F399" i="2"/>
  <c r="F399" i="3"/>
  <c r="G400" i="3"/>
  <c r="G400" i="2"/>
  <c r="J327" i="1"/>
  <c r="F343" i="1"/>
  <c r="N343" i="1"/>
  <c r="F148" i="2"/>
  <c r="C238" i="1"/>
  <c r="C242" i="1"/>
  <c r="C246" i="1"/>
  <c r="C250" i="1"/>
  <c r="C254" i="1"/>
  <c r="C258" i="1"/>
  <c r="C262" i="1"/>
  <c r="C266" i="1"/>
  <c r="C270" i="1"/>
  <c r="C274" i="1"/>
  <c r="C278" i="1"/>
  <c r="C282" i="1"/>
  <c r="C286" i="1"/>
  <c r="C290" i="1"/>
  <c r="C294" i="1"/>
  <c r="C298" i="1"/>
  <c r="F331" i="1"/>
  <c r="J331" i="1"/>
  <c r="N331" i="1"/>
  <c r="F347" i="1"/>
  <c r="J347" i="1"/>
  <c r="N347" i="1"/>
  <c r="G68" i="2"/>
  <c r="G68" i="3"/>
  <c r="F96" i="3"/>
  <c r="F96" i="2"/>
  <c r="G97" i="3"/>
  <c r="G97" i="2"/>
  <c r="F100" i="3"/>
  <c r="F100" i="2"/>
  <c r="G101" i="3"/>
  <c r="G101" i="2"/>
  <c r="F104" i="3"/>
  <c r="F104" i="2"/>
  <c r="G105" i="3"/>
  <c r="G105" i="2"/>
  <c r="F108" i="3"/>
  <c r="F108" i="2"/>
  <c r="G109" i="2"/>
  <c r="G109" i="3"/>
  <c r="F112" i="3"/>
  <c r="F112" i="2"/>
  <c r="G113" i="3"/>
  <c r="G113" i="2"/>
  <c r="F116" i="3"/>
  <c r="F116" i="2"/>
  <c r="G117" i="3"/>
  <c r="G117" i="2"/>
  <c r="F120" i="3"/>
  <c r="F120" i="2"/>
  <c r="G121" i="3"/>
  <c r="G121" i="2"/>
  <c r="F124" i="3"/>
  <c r="F124" i="2"/>
  <c r="G125" i="3"/>
  <c r="G125" i="2"/>
  <c r="F128" i="3"/>
  <c r="F128" i="2"/>
  <c r="G129" i="3"/>
  <c r="G129" i="2"/>
  <c r="F132" i="3"/>
  <c r="F132" i="2"/>
  <c r="G133" i="3"/>
  <c r="G133" i="2"/>
  <c r="G137" i="3"/>
  <c r="G137" i="2"/>
  <c r="G141" i="2"/>
  <c r="G141" i="3"/>
  <c r="G145" i="3"/>
  <c r="G145" i="2"/>
  <c r="G149" i="3"/>
  <c r="G149" i="2"/>
  <c r="F156" i="3"/>
  <c r="F156" i="2"/>
  <c r="F160" i="3"/>
  <c r="F160" i="2"/>
  <c r="G161" i="3"/>
  <c r="G161" i="2"/>
  <c r="G165" i="3"/>
  <c r="G165" i="2"/>
  <c r="F168" i="3"/>
  <c r="F168" i="2"/>
  <c r="F172" i="3"/>
  <c r="F172" i="2"/>
  <c r="G173" i="2"/>
  <c r="G173" i="3"/>
  <c r="F176" i="3"/>
  <c r="F176" i="2"/>
  <c r="G177" i="3"/>
  <c r="G177" i="2"/>
  <c r="G185" i="3"/>
  <c r="G185" i="2"/>
  <c r="H14" i="3"/>
  <c r="D321" i="1"/>
  <c r="L14" i="3"/>
  <c r="H321" i="1"/>
  <c r="P14" i="3"/>
  <c r="L321" i="1"/>
  <c r="T14" i="3"/>
  <c r="P321" i="1"/>
  <c r="M15" i="3"/>
  <c r="I322" i="1"/>
  <c r="K17" i="3"/>
  <c r="G324" i="1"/>
  <c r="S17" i="3"/>
  <c r="O324" i="1"/>
  <c r="L18" i="3"/>
  <c r="H325" i="1"/>
  <c r="M19" i="3"/>
  <c r="I326" i="1"/>
  <c r="Q19" i="3"/>
  <c r="M326" i="1"/>
  <c r="U19" i="3"/>
  <c r="Q326" i="1"/>
  <c r="G328" i="3"/>
  <c r="G328" i="2"/>
  <c r="K21" i="3"/>
  <c r="G328" i="1"/>
  <c r="O21" i="3"/>
  <c r="K328" i="1"/>
  <c r="S21" i="3"/>
  <c r="O328" i="1"/>
  <c r="H22" i="3"/>
  <c r="D329" i="1"/>
  <c r="L22" i="3"/>
  <c r="H329" i="1"/>
  <c r="P22" i="3"/>
  <c r="L329" i="1"/>
  <c r="T22" i="3"/>
  <c r="P329" i="1"/>
  <c r="I23" i="3"/>
  <c r="E330" i="1"/>
  <c r="M23" i="3"/>
  <c r="I330" i="1"/>
  <c r="Q23" i="3"/>
  <c r="M330" i="1"/>
  <c r="U23" i="3"/>
  <c r="Q330" i="1"/>
  <c r="G332" i="3"/>
  <c r="G332" i="2"/>
  <c r="K25" i="3"/>
  <c r="G332" i="1"/>
  <c r="O25" i="3"/>
  <c r="K332" i="1"/>
  <c r="S25" i="3"/>
  <c r="O332" i="1"/>
  <c r="H26" i="3"/>
  <c r="D333" i="1"/>
  <c r="L26" i="3"/>
  <c r="H333" i="1"/>
  <c r="P26" i="3"/>
  <c r="L333" i="1"/>
  <c r="T26" i="3"/>
  <c r="P333" i="1"/>
  <c r="F335" i="2"/>
  <c r="F335" i="3"/>
  <c r="G336" i="3"/>
  <c r="G336" i="2"/>
  <c r="K29" i="3"/>
  <c r="G336" i="1"/>
  <c r="O29" i="3"/>
  <c r="K336" i="1"/>
  <c r="S29" i="3"/>
  <c r="O336" i="1"/>
  <c r="H30" i="3"/>
  <c r="D337" i="1"/>
  <c r="L30" i="3"/>
  <c r="H337" i="1"/>
  <c r="P30" i="3"/>
  <c r="L337" i="1"/>
  <c r="T30" i="3"/>
  <c r="P337" i="1"/>
  <c r="I31" i="3"/>
  <c r="E338" i="1"/>
  <c r="F339" i="3"/>
  <c r="F339" i="2"/>
  <c r="K33" i="3"/>
  <c r="G340" i="1"/>
  <c r="L34" i="3"/>
  <c r="H341" i="1"/>
  <c r="T34" i="3"/>
  <c r="P341" i="1"/>
  <c r="Q35" i="3"/>
  <c r="M342" i="1"/>
  <c r="G344" i="2"/>
  <c r="G344" i="3"/>
  <c r="O37" i="3"/>
  <c r="K344" i="1"/>
  <c r="H38" i="3"/>
  <c r="D345" i="1"/>
  <c r="P38" i="3"/>
  <c r="L345" i="1"/>
  <c r="I39" i="3"/>
  <c r="E346" i="1"/>
  <c r="U39" i="3"/>
  <c r="Q346" i="1"/>
  <c r="G348" i="3"/>
  <c r="G348" i="2"/>
  <c r="O41" i="3"/>
  <c r="K348" i="1"/>
  <c r="L42" i="3"/>
  <c r="H349" i="1"/>
  <c r="T42" i="3"/>
  <c r="P349" i="1"/>
  <c r="M43" i="3"/>
  <c r="I350" i="1"/>
  <c r="U43" i="3"/>
  <c r="Q350" i="1"/>
  <c r="F327" i="1"/>
  <c r="N327" i="1"/>
  <c r="J343" i="1"/>
  <c r="F144" i="2"/>
  <c r="C274" i="2"/>
  <c r="C302" i="2"/>
  <c r="F335" i="1"/>
  <c r="J335" i="1"/>
  <c r="N335" i="1"/>
  <c r="C242" i="2"/>
  <c r="I27" i="3"/>
  <c r="M27" i="3"/>
  <c r="Q27" i="3"/>
  <c r="U27" i="3"/>
  <c r="G55" i="3"/>
  <c r="G55" i="2"/>
  <c r="F58" i="3"/>
  <c r="F58" i="2"/>
  <c r="E65" i="3"/>
  <c r="E65" i="2"/>
  <c r="G67" i="3"/>
  <c r="G67" i="2"/>
  <c r="G96" i="3"/>
  <c r="G96" i="2"/>
  <c r="G100" i="3"/>
  <c r="G100" i="2"/>
  <c r="G104" i="3"/>
  <c r="G104" i="2"/>
  <c r="G120" i="3"/>
  <c r="G120" i="2"/>
  <c r="G140" i="3"/>
  <c r="G140" i="2"/>
  <c r="F147" i="3"/>
  <c r="F147" i="2"/>
  <c r="F151" i="3"/>
  <c r="F151" i="2"/>
  <c r="F155" i="3"/>
  <c r="F155" i="2"/>
  <c r="F159" i="3"/>
  <c r="F159" i="2"/>
  <c r="G160" i="3"/>
  <c r="G160" i="2"/>
  <c r="G164" i="3"/>
  <c r="G164" i="2"/>
  <c r="F167" i="3"/>
  <c r="F167" i="2"/>
  <c r="G168" i="3"/>
  <c r="G168" i="2"/>
  <c r="G172" i="3"/>
  <c r="G172" i="2"/>
  <c r="F175" i="3"/>
  <c r="F175" i="2"/>
  <c r="G180" i="3"/>
  <c r="G180" i="2"/>
  <c r="G184" i="3"/>
  <c r="G184" i="2"/>
  <c r="G188" i="3"/>
  <c r="G188" i="2"/>
  <c r="F62" i="3"/>
  <c r="F62" i="2"/>
  <c r="E69" i="3"/>
  <c r="E69" i="2"/>
  <c r="G71" i="3"/>
  <c r="G71" i="2"/>
  <c r="F74" i="3"/>
  <c r="F74" i="2"/>
  <c r="G108" i="3"/>
  <c r="G108" i="2"/>
  <c r="G116" i="3"/>
  <c r="G116" i="2"/>
  <c r="G124" i="3"/>
  <c r="G124" i="2"/>
  <c r="G128" i="3"/>
  <c r="G128" i="2"/>
  <c r="F131" i="3"/>
  <c r="F131" i="2"/>
  <c r="E61" i="2"/>
  <c r="G63" i="2"/>
  <c r="F103" i="2"/>
  <c r="F111" i="2"/>
  <c r="F119" i="2"/>
  <c r="F139" i="2"/>
  <c r="F187" i="2"/>
  <c r="E53" i="3"/>
  <c r="E57" i="2"/>
  <c r="G59" i="2"/>
  <c r="F70" i="2"/>
  <c r="G132" i="2"/>
  <c r="F143" i="2"/>
  <c r="G152" i="2"/>
  <c r="G156" i="2"/>
  <c r="G176" i="2"/>
  <c r="F135" i="3"/>
  <c r="G144" i="3"/>
  <c r="R6" i="9"/>
  <c r="Q5" i="13" s="1"/>
  <c r="I8" i="8"/>
  <c r="J8" i="2" s="1"/>
  <c r="E54" i="3"/>
  <c r="E54" i="2"/>
  <c r="E58" i="3"/>
  <c r="E58" i="2"/>
  <c r="E62" i="3"/>
  <c r="E62" i="2"/>
  <c r="G64" i="3"/>
  <c r="G64" i="2"/>
  <c r="E66" i="2"/>
  <c r="E66" i="3"/>
  <c r="F67" i="2"/>
  <c r="F67" i="3"/>
  <c r="E70" i="3"/>
  <c r="E70" i="2"/>
  <c r="F71" i="2"/>
  <c r="F71" i="3"/>
  <c r="G76" i="2"/>
  <c r="G76" i="3"/>
  <c r="G81" i="3"/>
  <c r="F20" i="3"/>
  <c r="D47" i="3"/>
  <c r="D51" i="3"/>
  <c r="F55" i="3"/>
  <c r="F55" i="2"/>
  <c r="G56" i="3"/>
  <c r="G56" i="2"/>
  <c r="F59" i="3"/>
  <c r="F59" i="2"/>
  <c r="G60" i="3"/>
  <c r="G60" i="2"/>
  <c r="G72" i="2"/>
  <c r="G72" i="3"/>
  <c r="F75" i="2"/>
  <c r="F75" i="3"/>
  <c r="D43" i="3"/>
  <c r="E74" i="3"/>
  <c r="D39" i="3"/>
  <c r="H3" i="1"/>
  <c r="F63" i="3"/>
  <c r="Q13" i="7"/>
  <c r="P12" i="11" s="1"/>
  <c r="M8" i="7"/>
  <c r="L7" i="11" s="1"/>
  <c r="J4" i="11"/>
  <c r="H5" i="1"/>
  <c r="P13" i="7"/>
  <c r="L13" i="7"/>
  <c r="H13" i="7"/>
  <c r="E13" i="1" s="1"/>
  <c r="P12" i="7"/>
  <c r="L12" i="7"/>
  <c r="H12" i="7"/>
  <c r="P11" i="7"/>
  <c r="L11" i="7"/>
  <c r="H11" i="7"/>
  <c r="E11" i="1" s="1"/>
  <c r="P10" i="7"/>
  <c r="L10" i="7"/>
  <c r="H10" i="7"/>
  <c r="P9" i="7"/>
  <c r="L9" i="7"/>
  <c r="H9" i="7"/>
  <c r="P8" i="7"/>
  <c r="L8" i="7"/>
  <c r="H8" i="7"/>
  <c r="P7" i="7"/>
  <c r="S13" i="7"/>
  <c r="O13" i="7"/>
  <c r="K13" i="7"/>
  <c r="S12" i="7"/>
  <c r="O12" i="7"/>
  <c r="K12" i="7"/>
  <c r="S11" i="7"/>
  <c r="O11" i="7"/>
  <c r="K11" i="7"/>
  <c r="S10" i="7"/>
  <c r="O10" i="7"/>
  <c r="K10" i="7"/>
  <c r="S9" i="7"/>
  <c r="O9" i="7"/>
  <c r="K9" i="7"/>
  <c r="S8" i="7"/>
  <c r="O8" i="7"/>
  <c r="K8" i="7"/>
  <c r="S7" i="7"/>
  <c r="N13" i="7"/>
  <c r="R12" i="7"/>
  <c r="N11" i="7"/>
  <c r="R10" i="7"/>
  <c r="J10" i="7"/>
  <c r="N9" i="7"/>
  <c r="R8" i="7"/>
  <c r="J8" i="7"/>
  <c r="O7" i="7"/>
  <c r="K7" i="7"/>
  <c r="S6" i="7"/>
  <c r="O6" i="7"/>
  <c r="K6" i="7"/>
  <c r="S5" i="7"/>
  <c r="O5" i="7"/>
  <c r="I5" i="7"/>
  <c r="Q4" i="7"/>
  <c r="L4" i="7"/>
  <c r="H4" i="7"/>
  <c r="P3" i="7"/>
  <c r="L3" i="7"/>
  <c r="H3" i="7"/>
  <c r="M13" i="7"/>
  <c r="Q12" i="7"/>
  <c r="I12" i="7"/>
  <c r="M11" i="7"/>
  <c r="Q10" i="7"/>
  <c r="I10" i="7"/>
  <c r="M9" i="7"/>
  <c r="Q8" i="7"/>
  <c r="I8" i="7"/>
  <c r="N7" i="7"/>
  <c r="J7" i="7"/>
  <c r="R6" i="7"/>
  <c r="N6" i="7"/>
  <c r="J6" i="7"/>
  <c r="R5" i="7"/>
  <c r="N5" i="7"/>
  <c r="H5" i="7"/>
  <c r="G4" i="11" s="1"/>
  <c r="P4" i="7"/>
  <c r="K4" i="7"/>
  <c r="S3" i="7"/>
  <c r="O3" i="7"/>
  <c r="R13" i="7"/>
  <c r="J13" i="7"/>
  <c r="N12" i="7"/>
  <c r="R11" i="7"/>
  <c r="J11" i="7"/>
  <c r="N10" i="7"/>
  <c r="R9" i="7"/>
  <c r="J9" i="7"/>
  <c r="N8" i="7"/>
  <c r="R7" i="7"/>
  <c r="M7" i="7"/>
  <c r="I7" i="7"/>
  <c r="Q6" i="7"/>
  <c r="M6" i="7"/>
  <c r="I6" i="7"/>
  <c r="Q5" i="7"/>
  <c r="L5" i="7"/>
  <c r="S4" i="7"/>
  <c r="O4" i="7"/>
  <c r="J4" i="7"/>
  <c r="R3" i="7"/>
  <c r="N3" i="7"/>
  <c r="J3" i="7"/>
  <c r="I13" i="7"/>
  <c r="M10" i="7"/>
  <c r="Q7" i="7"/>
  <c r="L6" i="7"/>
  <c r="R4" i="7"/>
  <c r="Q3" i="11" s="1"/>
  <c r="M3" i="7"/>
  <c r="M12" i="7"/>
  <c r="Q9" i="7"/>
  <c r="L7" i="7"/>
  <c r="H6" i="7"/>
  <c r="N4" i="7"/>
  <c r="M3" i="11" s="1"/>
  <c r="I3" i="7"/>
  <c r="Q11" i="7"/>
  <c r="I9" i="7"/>
  <c r="T9" i="7" s="1"/>
  <c r="H7" i="7"/>
  <c r="P5" i="7"/>
  <c r="I4" i="7"/>
  <c r="Q13" i="9"/>
  <c r="M13" i="9"/>
  <c r="I13" i="9"/>
  <c r="Q12" i="9"/>
  <c r="M12" i="9"/>
  <c r="I12" i="9"/>
  <c r="Q11" i="9"/>
  <c r="M11" i="9"/>
  <c r="I11" i="9"/>
  <c r="Q10" i="9"/>
  <c r="M10" i="9"/>
  <c r="I10" i="9"/>
  <c r="Q9" i="9"/>
  <c r="M9" i="9"/>
  <c r="I9" i="9"/>
  <c r="Q8" i="9"/>
  <c r="M8" i="9"/>
  <c r="I8" i="9"/>
  <c r="Q7" i="9"/>
  <c r="M7" i="9"/>
  <c r="I7" i="9"/>
  <c r="Q6" i="9"/>
  <c r="M6" i="9"/>
  <c r="I6" i="9"/>
  <c r="Q5" i="9"/>
  <c r="M5" i="9"/>
  <c r="I5" i="9"/>
  <c r="Q4" i="9"/>
  <c r="M4" i="9"/>
  <c r="I4" i="9"/>
  <c r="Q3" i="9"/>
  <c r="M3" i="9"/>
  <c r="I3" i="9"/>
  <c r="Q13" i="8"/>
  <c r="M13" i="8"/>
  <c r="I13" i="8"/>
  <c r="Q12" i="8"/>
  <c r="M12" i="8"/>
  <c r="I12" i="8"/>
  <c r="Q11" i="8"/>
  <c r="M11" i="8"/>
  <c r="I11" i="8"/>
  <c r="Q10" i="8"/>
  <c r="M10" i="8"/>
  <c r="I10" i="8"/>
  <c r="Q9" i="8"/>
  <c r="M9" i="8"/>
  <c r="I9" i="8"/>
  <c r="H3" i="9"/>
  <c r="P13" i="8"/>
  <c r="L13" i="8"/>
  <c r="H13" i="8"/>
  <c r="P12" i="8"/>
  <c r="L12" i="8"/>
  <c r="H12" i="8"/>
  <c r="P11" i="8"/>
  <c r="L11" i="8"/>
  <c r="H11" i="8"/>
  <c r="P10" i="8"/>
  <c r="L10" i="8"/>
  <c r="H10" i="8"/>
  <c r="G9" i="12" s="1"/>
  <c r="P9" i="8"/>
  <c r="L9" i="8"/>
  <c r="H9" i="8"/>
  <c r="P8" i="8"/>
  <c r="L8" i="8"/>
  <c r="H8" i="8"/>
  <c r="P7" i="8"/>
  <c r="L7" i="8"/>
  <c r="H7" i="8"/>
  <c r="P6" i="8"/>
  <c r="L6" i="8"/>
  <c r="H6" i="8"/>
  <c r="I6" i="2" s="1"/>
  <c r="P5" i="8"/>
  <c r="L5" i="8"/>
  <c r="H5" i="8"/>
  <c r="P4" i="8"/>
  <c r="L4" i="8"/>
  <c r="H4" i="8"/>
  <c r="P3" i="8"/>
  <c r="L3" i="8"/>
  <c r="H3" i="8"/>
  <c r="S13" i="8"/>
  <c r="O13" i="8"/>
  <c r="K13" i="8"/>
  <c r="S12" i="8"/>
  <c r="O12" i="8"/>
  <c r="K12" i="8"/>
  <c r="S11" i="8"/>
  <c r="O11" i="8"/>
  <c r="K11" i="8"/>
  <c r="S10" i="8"/>
  <c r="O10" i="8"/>
  <c r="K10" i="8"/>
  <c r="S9" i="8"/>
  <c r="O9" i="8"/>
  <c r="K9" i="8"/>
  <c r="S8" i="8"/>
  <c r="O8" i="8"/>
  <c r="K8" i="8"/>
  <c r="S7" i="8"/>
  <c r="O7" i="8"/>
  <c r="K7" i="8"/>
  <c r="S6" i="8"/>
  <c r="O6" i="8"/>
  <c r="K6" i="8"/>
  <c r="S5" i="8"/>
  <c r="O5" i="8"/>
  <c r="K5" i="8"/>
  <c r="S4" i="8"/>
  <c r="O4" i="8"/>
  <c r="K4" i="8"/>
  <c r="S3" i="8"/>
  <c r="O3" i="8"/>
  <c r="K3" i="8"/>
  <c r="J13" i="9"/>
  <c r="R11" i="9"/>
  <c r="N10" i="9"/>
  <c r="J9" i="9"/>
  <c r="R7" i="9"/>
  <c r="N6" i="9"/>
  <c r="J5" i="9"/>
  <c r="R3" i="9"/>
  <c r="N13" i="8"/>
  <c r="J12" i="8"/>
  <c r="R10" i="8"/>
  <c r="N9" i="8"/>
  <c r="N8" i="8"/>
  <c r="R7" i="8"/>
  <c r="J7" i="8"/>
  <c r="N6" i="8"/>
  <c r="R5" i="8"/>
  <c r="J5" i="8"/>
  <c r="N4" i="8"/>
  <c r="R3" i="8"/>
  <c r="J3" i="8"/>
  <c r="J12" i="7"/>
  <c r="R12" i="9"/>
  <c r="N11" i="9"/>
  <c r="J10" i="9"/>
  <c r="R8" i="9"/>
  <c r="N7" i="9"/>
  <c r="J6" i="9"/>
  <c r="R4" i="9"/>
  <c r="N3" i="9"/>
  <c r="J13" i="8"/>
  <c r="R11" i="8"/>
  <c r="N10" i="8"/>
  <c r="J9" i="8"/>
  <c r="M8" i="8"/>
  <c r="Q7" i="8"/>
  <c r="I7" i="8"/>
  <c r="M6" i="8"/>
  <c r="Q5" i="8"/>
  <c r="I5" i="8"/>
  <c r="M4" i="8"/>
  <c r="Q3" i="8"/>
  <c r="I3" i="8"/>
  <c r="R13" i="9"/>
  <c r="N12" i="9"/>
  <c r="J11" i="9"/>
  <c r="R9" i="9"/>
  <c r="N8" i="9"/>
  <c r="J7" i="9"/>
  <c r="R5" i="9"/>
  <c r="N4" i="9"/>
  <c r="J3" i="9"/>
  <c r="R12" i="8"/>
  <c r="N11" i="8"/>
  <c r="J10" i="8"/>
  <c r="R8" i="8"/>
  <c r="J8" i="8"/>
  <c r="N7" i="8"/>
  <c r="T7" i="8" s="1"/>
  <c r="R6" i="8"/>
  <c r="J6" i="8"/>
  <c r="N5" i="8"/>
  <c r="R4" i="8"/>
  <c r="J4" i="8"/>
  <c r="N3" i="8"/>
  <c r="R10" i="9"/>
  <c r="N5" i="9"/>
  <c r="J11" i="8"/>
  <c r="M7" i="8"/>
  <c r="Q4" i="8"/>
  <c r="N9" i="9"/>
  <c r="J4" i="9"/>
  <c r="R9" i="8"/>
  <c r="Q6" i="8"/>
  <c r="I4" i="8"/>
  <c r="T4" i="8" s="1"/>
  <c r="N13" i="9"/>
  <c r="J8" i="9"/>
  <c r="R13" i="8"/>
  <c r="Q8" i="8"/>
  <c r="I6" i="8"/>
  <c r="M3" i="8"/>
  <c r="N13" i="1"/>
  <c r="P6" i="7"/>
  <c r="M5" i="8"/>
  <c r="J12" i="9"/>
  <c r="H7" i="12"/>
  <c r="Q3" i="7"/>
  <c r="I11" i="7"/>
  <c r="N12" i="8"/>
  <c r="P13" i="9"/>
  <c r="K3" i="9"/>
  <c r="O3" i="9"/>
  <c r="S3" i="9"/>
  <c r="K4" i="9"/>
  <c r="O4" i="9"/>
  <c r="S4" i="9"/>
  <c r="K5" i="9"/>
  <c r="O5" i="9"/>
  <c r="S5" i="9"/>
  <c r="K6" i="9"/>
  <c r="O6" i="9"/>
  <c r="S6" i="9"/>
  <c r="K7" i="9"/>
  <c r="O7" i="9"/>
  <c r="S7" i="9"/>
  <c r="K8" i="9"/>
  <c r="O8" i="9"/>
  <c r="S8" i="9"/>
  <c r="K9" i="9"/>
  <c r="O9" i="9"/>
  <c r="S9" i="9"/>
  <c r="K10" i="9"/>
  <c r="O10" i="9"/>
  <c r="S10" i="9"/>
  <c r="K11" i="9"/>
  <c r="O11" i="9"/>
  <c r="S11" i="9"/>
  <c r="K12" i="9"/>
  <c r="O12" i="9"/>
  <c r="S12" i="9"/>
  <c r="K13" i="9"/>
  <c r="O13" i="9"/>
  <c r="S13" i="9"/>
  <c r="L3" i="9"/>
  <c r="P3" i="9"/>
  <c r="H4" i="9"/>
  <c r="L4" i="9"/>
  <c r="P4" i="9"/>
  <c r="H5" i="9"/>
  <c r="L5" i="9"/>
  <c r="P5" i="9"/>
  <c r="T5" i="9" s="1"/>
  <c r="H6" i="9"/>
  <c r="L6" i="9"/>
  <c r="P6" i="9"/>
  <c r="H7" i="9"/>
  <c r="G6" i="13" s="1"/>
  <c r="L7" i="9"/>
  <c r="P7" i="9"/>
  <c r="H8" i="9"/>
  <c r="L8" i="9"/>
  <c r="P8" i="9"/>
  <c r="H9" i="9"/>
  <c r="L9" i="9"/>
  <c r="P9" i="9"/>
  <c r="H10" i="9"/>
  <c r="L10" i="9"/>
  <c r="P10" i="9"/>
  <c r="H11" i="9"/>
  <c r="L11" i="9"/>
  <c r="P11" i="9"/>
  <c r="H12" i="9"/>
  <c r="L12" i="9"/>
  <c r="P12" i="9"/>
  <c r="H13" i="9"/>
  <c r="L13" i="9"/>
  <c r="K4" i="1"/>
  <c r="O4" i="1"/>
  <c r="E5" i="1"/>
  <c r="T11" i="7"/>
  <c r="G10" i="11"/>
  <c r="T4" i="7"/>
  <c r="T10" i="7"/>
  <c r="T6" i="9"/>
  <c r="G12" i="11"/>
  <c r="G2" i="13"/>
  <c r="T9" i="8" l="1"/>
  <c r="U9" i="2" s="1"/>
  <c r="T5" i="8"/>
  <c r="T12" i="8"/>
  <c r="T13" i="8"/>
  <c r="T3" i="8"/>
  <c r="T11" i="8"/>
  <c r="T6" i="7"/>
  <c r="T3" i="7"/>
  <c r="T7" i="7"/>
  <c r="S6" i="11" s="1"/>
  <c r="T5" i="7"/>
  <c r="T13" i="7"/>
  <c r="T8" i="7"/>
  <c r="T12" i="7"/>
  <c r="G12" i="7" s="1"/>
  <c r="T6" i="8"/>
  <c r="S5" i="12" s="1"/>
  <c r="T10" i="9"/>
  <c r="T8" i="8"/>
  <c r="G5" i="12"/>
  <c r="S6" i="3"/>
  <c r="J8" i="1"/>
  <c r="T9" i="9"/>
  <c r="T13" i="9"/>
  <c r="S12" i="13" s="1"/>
  <c r="T11" i="9"/>
  <c r="I11" i="3"/>
  <c r="K7" i="13"/>
  <c r="M8" i="3"/>
  <c r="O4" i="13"/>
  <c r="Q5" i="3"/>
  <c r="R12" i="13"/>
  <c r="T13" i="3"/>
  <c r="N11" i="13"/>
  <c r="P12" i="3"/>
  <c r="J10" i="13"/>
  <c r="L11" i="3"/>
  <c r="R8" i="13"/>
  <c r="T9" i="3"/>
  <c r="N7" i="13"/>
  <c r="P8" i="3"/>
  <c r="J6" i="13"/>
  <c r="L7" i="3"/>
  <c r="R4" i="13"/>
  <c r="T5" i="3"/>
  <c r="N3" i="13"/>
  <c r="P4" i="3"/>
  <c r="J2" i="13"/>
  <c r="L3" i="3"/>
  <c r="O5" i="11"/>
  <c r="M6" i="1"/>
  <c r="H5" i="12"/>
  <c r="J6" i="2"/>
  <c r="M12" i="13"/>
  <c r="O13" i="3"/>
  <c r="I3" i="13"/>
  <c r="K4" i="3"/>
  <c r="I10" i="12"/>
  <c r="K11" i="2"/>
  <c r="I3" i="12"/>
  <c r="K4" i="2"/>
  <c r="Q5" i="12"/>
  <c r="S6" i="2"/>
  <c r="I9" i="12"/>
  <c r="K10" i="2"/>
  <c r="M3" i="13"/>
  <c r="O4" i="3"/>
  <c r="Q8" i="13"/>
  <c r="S9" i="3"/>
  <c r="H2" i="12"/>
  <c r="J3" i="2"/>
  <c r="P4" i="12"/>
  <c r="R5" i="2"/>
  <c r="L7" i="12"/>
  <c r="N8" i="2"/>
  <c r="I12" i="12"/>
  <c r="K13" i="2"/>
  <c r="M6" i="13"/>
  <c r="O7" i="3"/>
  <c r="Q11" i="13"/>
  <c r="S12" i="3"/>
  <c r="M3" i="12"/>
  <c r="O4" i="2"/>
  <c r="I6" i="12"/>
  <c r="K7" i="2"/>
  <c r="Q9" i="12"/>
  <c r="S10" i="2"/>
  <c r="I4" i="13"/>
  <c r="K5" i="3"/>
  <c r="M9" i="13"/>
  <c r="O10" i="3"/>
  <c r="N2" i="12"/>
  <c r="P3" i="2"/>
  <c r="R3" i="12"/>
  <c r="T4" i="2"/>
  <c r="J5" i="12"/>
  <c r="L6" i="2"/>
  <c r="N6" i="12"/>
  <c r="P7" i="2"/>
  <c r="R7" i="12"/>
  <c r="T8" i="2"/>
  <c r="J9" i="12"/>
  <c r="L10" i="2"/>
  <c r="N10" i="12"/>
  <c r="P11" i="2"/>
  <c r="R11" i="12"/>
  <c r="T12" i="2"/>
  <c r="G2" i="12"/>
  <c r="I3" i="2"/>
  <c r="K3" i="12"/>
  <c r="M4" i="2"/>
  <c r="O4" i="12"/>
  <c r="Q5" i="2"/>
  <c r="G6" i="12"/>
  <c r="I7" i="2"/>
  <c r="K7" i="12"/>
  <c r="M8" i="2"/>
  <c r="O8" i="12"/>
  <c r="Q9" i="2"/>
  <c r="G10" i="12"/>
  <c r="I11" i="2"/>
  <c r="K11" i="12"/>
  <c r="M12" i="2"/>
  <c r="O12" i="12"/>
  <c r="Q13" i="2"/>
  <c r="P8" i="12"/>
  <c r="R9" i="2"/>
  <c r="H10" i="12"/>
  <c r="J11" i="2"/>
  <c r="L11" i="12"/>
  <c r="N12" i="2"/>
  <c r="P12" i="12"/>
  <c r="R13" i="2"/>
  <c r="H3" i="13"/>
  <c r="J4" i="3"/>
  <c r="L4" i="13"/>
  <c r="N5" i="3"/>
  <c r="P5" i="13"/>
  <c r="R6" i="3"/>
  <c r="H7" i="13"/>
  <c r="J8" i="3"/>
  <c r="L8" i="13"/>
  <c r="N9" i="3"/>
  <c r="P9" i="13"/>
  <c r="R10" i="3"/>
  <c r="H11" i="13"/>
  <c r="J12" i="3"/>
  <c r="L12" i="13"/>
  <c r="N13" i="3"/>
  <c r="G6" i="11"/>
  <c r="E7" i="1"/>
  <c r="L11" i="11"/>
  <c r="J12" i="1"/>
  <c r="P6" i="11"/>
  <c r="N7" i="1"/>
  <c r="M2" i="11"/>
  <c r="K3" i="1"/>
  <c r="R3" i="11"/>
  <c r="P4" i="1"/>
  <c r="L5" i="11"/>
  <c r="J6" i="1"/>
  <c r="Q6" i="11"/>
  <c r="O7" i="1"/>
  <c r="M9" i="11"/>
  <c r="K10" i="1"/>
  <c r="I12" i="11"/>
  <c r="G13" i="1"/>
  <c r="J3" i="11"/>
  <c r="H4" i="1"/>
  <c r="Q4" i="11"/>
  <c r="O5" i="1"/>
  <c r="I6" i="11"/>
  <c r="G7" i="1"/>
  <c r="L8" i="11"/>
  <c r="J9" i="1"/>
  <c r="H11" i="11"/>
  <c r="F12" i="1"/>
  <c r="K2" i="11"/>
  <c r="I3" i="1"/>
  <c r="P3" i="11"/>
  <c r="N4" i="1"/>
  <c r="J5" i="11"/>
  <c r="H6" i="1"/>
  <c r="N6" i="11"/>
  <c r="L7" i="1"/>
  <c r="I9" i="11"/>
  <c r="G10" i="1"/>
  <c r="M12" i="11"/>
  <c r="K13" i="1"/>
  <c r="R7" i="11"/>
  <c r="P8" i="1"/>
  <c r="J9" i="11"/>
  <c r="H10" i="1"/>
  <c r="N10" i="11"/>
  <c r="L11" i="1"/>
  <c r="R11" i="11"/>
  <c r="P12" i="1"/>
  <c r="O6" i="11"/>
  <c r="M7" i="1"/>
  <c r="G8" i="11"/>
  <c r="E9" i="1"/>
  <c r="K9" i="11"/>
  <c r="I10" i="1"/>
  <c r="O10" i="11"/>
  <c r="M11" i="1"/>
  <c r="K11" i="13"/>
  <c r="M12" i="3"/>
  <c r="O8" i="13"/>
  <c r="Q9" i="3"/>
  <c r="T7" i="9"/>
  <c r="I7" i="3"/>
  <c r="K3" i="13"/>
  <c r="M4" i="3"/>
  <c r="T12" i="9"/>
  <c r="U12" i="3" s="1"/>
  <c r="T4" i="9"/>
  <c r="U4" i="3" s="1"/>
  <c r="K12" i="13"/>
  <c r="M13" i="3"/>
  <c r="G11" i="13"/>
  <c r="I12" i="3"/>
  <c r="O9" i="13"/>
  <c r="Q10" i="3"/>
  <c r="K8" i="13"/>
  <c r="M9" i="3"/>
  <c r="G7" i="13"/>
  <c r="I8" i="3"/>
  <c r="O5" i="13"/>
  <c r="Q6" i="3"/>
  <c r="K4" i="13"/>
  <c r="M5" i="3"/>
  <c r="G3" i="13"/>
  <c r="I4" i="3"/>
  <c r="N12" i="13"/>
  <c r="P13" i="3"/>
  <c r="J11" i="13"/>
  <c r="L12" i="3"/>
  <c r="R9" i="13"/>
  <c r="T10" i="3"/>
  <c r="N8" i="13"/>
  <c r="P9" i="3"/>
  <c r="J7" i="13"/>
  <c r="L8" i="3"/>
  <c r="R5" i="13"/>
  <c r="T6" i="3"/>
  <c r="N4" i="13"/>
  <c r="P5" i="3"/>
  <c r="J3" i="13"/>
  <c r="L4" i="3"/>
  <c r="O12" i="13"/>
  <c r="Q13" i="3"/>
  <c r="M11" i="12"/>
  <c r="O12" i="2"/>
  <c r="P7" i="12"/>
  <c r="R8" i="2"/>
  <c r="H3" i="12"/>
  <c r="J4" i="2"/>
  <c r="M8" i="13"/>
  <c r="O9" i="3"/>
  <c r="M4" i="13"/>
  <c r="O5" i="3"/>
  <c r="Q3" i="12"/>
  <c r="S4" i="2"/>
  <c r="M6" i="12"/>
  <c r="O7" i="2"/>
  <c r="M10" i="12"/>
  <c r="O11" i="2"/>
  <c r="Q4" i="13"/>
  <c r="S5" i="3"/>
  <c r="I10" i="13"/>
  <c r="K11" i="3"/>
  <c r="P2" i="12"/>
  <c r="R3" i="2"/>
  <c r="L5" i="12"/>
  <c r="N6" i="2"/>
  <c r="I8" i="12"/>
  <c r="K9" i="2"/>
  <c r="M2" i="13"/>
  <c r="O3" i="3"/>
  <c r="Q7" i="13"/>
  <c r="S8" i="3"/>
  <c r="I11" i="11"/>
  <c r="G12" i="1"/>
  <c r="I4" i="12"/>
  <c r="K5" i="2"/>
  <c r="Q6" i="12"/>
  <c r="S7" i="2"/>
  <c r="I11" i="12"/>
  <c r="K12" i="2"/>
  <c r="M5" i="13"/>
  <c r="O6" i="3"/>
  <c r="Q10" i="13"/>
  <c r="S11" i="3"/>
  <c r="R2" i="12"/>
  <c r="T3" i="2"/>
  <c r="J4" i="12"/>
  <c r="L5" i="2"/>
  <c r="N5" i="12"/>
  <c r="P6" i="2"/>
  <c r="R6" i="12"/>
  <c r="T7" i="2"/>
  <c r="J8" i="12"/>
  <c r="L9" i="2"/>
  <c r="N9" i="12"/>
  <c r="P10" i="2"/>
  <c r="R10" i="12"/>
  <c r="T11" i="2"/>
  <c r="J12" i="12"/>
  <c r="L13" i="2"/>
  <c r="K2" i="12"/>
  <c r="M3" i="2"/>
  <c r="O3" i="12"/>
  <c r="Q4" i="2"/>
  <c r="K6" i="12"/>
  <c r="M7" i="2"/>
  <c r="O7" i="12"/>
  <c r="Q8" i="2"/>
  <c r="T10" i="8"/>
  <c r="I10" i="2"/>
  <c r="K10" i="12"/>
  <c r="M11" i="2"/>
  <c r="O11" i="12"/>
  <c r="Q12" i="2"/>
  <c r="T3" i="9"/>
  <c r="I3" i="3"/>
  <c r="H9" i="12"/>
  <c r="J10" i="2"/>
  <c r="L10" i="12"/>
  <c r="N11" i="2"/>
  <c r="P11" i="12"/>
  <c r="R12" i="2"/>
  <c r="H2" i="13"/>
  <c r="J3" i="3"/>
  <c r="L3" i="13"/>
  <c r="N4" i="3"/>
  <c r="P4" i="13"/>
  <c r="R5" i="3"/>
  <c r="H6" i="13"/>
  <c r="J7" i="3"/>
  <c r="L7" i="13"/>
  <c r="N8" i="3"/>
  <c r="P8" i="13"/>
  <c r="R9" i="3"/>
  <c r="H10" i="13"/>
  <c r="J11" i="3"/>
  <c r="L11" i="13"/>
  <c r="N12" i="3"/>
  <c r="P12" i="13"/>
  <c r="R13" i="3"/>
  <c r="H8" i="11"/>
  <c r="F9" i="1"/>
  <c r="G5" i="11"/>
  <c r="E6" i="1"/>
  <c r="L2" i="11"/>
  <c r="J3" i="1"/>
  <c r="L9" i="11"/>
  <c r="J10" i="1"/>
  <c r="Q2" i="11"/>
  <c r="O3" i="1"/>
  <c r="K4" i="11"/>
  <c r="I5" i="1"/>
  <c r="P5" i="11"/>
  <c r="N6" i="1"/>
  <c r="M7" i="11"/>
  <c r="K8" i="1"/>
  <c r="I10" i="11"/>
  <c r="G11" i="1"/>
  <c r="Q12" i="11"/>
  <c r="O13" i="1"/>
  <c r="O3" i="11"/>
  <c r="M4" i="1"/>
  <c r="I5" i="11"/>
  <c r="G6" i="1"/>
  <c r="M6" i="11"/>
  <c r="K7" i="1"/>
  <c r="H9" i="11"/>
  <c r="F10" i="1"/>
  <c r="P11" i="11"/>
  <c r="N12" i="1"/>
  <c r="O2" i="11"/>
  <c r="M3" i="1"/>
  <c r="H4" i="11"/>
  <c r="F5" i="1"/>
  <c r="N5" i="11"/>
  <c r="L6" i="1"/>
  <c r="I7" i="11"/>
  <c r="G8" i="1"/>
  <c r="Q9" i="11"/>
  <c r="O10" i="1"/>
  <c r="R6" i="11"/>
  <c r="P7" i="1"/>
  <c r="J8" i="11"/>
  <c r="H9" i="1"/>
  <c r="N9" i="11"/>
  <c r="L10" i="1"/>
  <c r="R10" i="11"/>
  <c r="P11" i="1"/>
  <c r="J12" i="11"/>
  <c r="H13" i="1"/>
  <c r="G7" i="11"/>
  <c r="E8" i="1"/>
  <c r="K8" i="11"/>
  <c r="I9" i="1"/>
  <c r="O9" i="11"/>
  <c r="M10" i="1"/>
  <c r="G11" i="11"/>
  <c r="E12" i="1"/>
  <c r="K12" i="11"/>
  <c r="I13" i="1"/>
  <c r="O10" i="13"/>
  <c r="Q11" i="3"/>
  <c r="G8" i="13"/>
  <c r="I9" i="3"/>
  <c r="O6" i="13"/>
  <c r="Q7" i="3"/>
  <c r="K5" i="13"/>
  <c r="M6" i="3"/>
  <c r="G4" i="13"/>
  <c r="I5" i="3"/>
  <c r="O2" i="13"/>
  <c r="Q3" i="3"/>
  <c r="J12" i="13"/>
  <c r="L13" i="3"/>
  <c r="R10" i="13"/>
  <c r="T11" i="3"/>
  <c r="N9" i="13"/>
  <c r="P10" i="3"/>
  <c r="J8" i="13"/>
  <c r="L9" i="3"/>
  <c r="R6" i="13"/>
  <c r="T7" i="3"/>
  <c r="N5" i="13"/>
  <c r="P6" i="3"/>
  <c r="J4" i="13"/>
  <c r="L5" i="3"/>
  <c r="R2" i="13"/>
  <c r="T3" i="3"/>
  <c r="H10" i="11"/>
  <c r="F11" i="1"/>
  <c r="I11" i="13"/>
  <c r="K12" i="3"/>
  <c r="Q12" i="12"/>
  <c r="S13" i="2"/>
  <c r="P5" i="12"/>
  <c r="R6" i="2"/>
  <c r="P3" i="12"/>
  <c r="R4" i="2"/>
  <c r="Q9" i="13"/>
  <c r="S10" i="3"/>
  <c r="M4" i="12"/>
  <c r="O5" i="2"/>
  <c r="I7" i="12"/>
  <c r="K8" i="2"/>
  <c r="Q11" i="12"/>
  <c r="S12" i="2"/>
  <c r="I6" i="13"/>
  <c r="K7" i="3"/>
  <c r="M11" i="13"/>
  <c r="O12" i="3"/>
  <c r="L3" i="12"/>
  <c r="N4" i="2"/>
  <c r="H6" i="12"/>
  <c r="J7" i="2"/>
  <c r="M9" i="12"/>
  <c r="O10" i="2"/>
  <c r="Q3" i="13"/>
  <c r="S4" i="3"/>
  <c r="I9" i="13"/>
  <c r="K10" i="3"/>
  <c r="I2" i="12"/>
  <c r="K3" i="2"/>
  <c r="Q4" i="12"/>
  <c r="S5" i="2"/>
  <c r="M7" i="12"/>
  <c r="O8" i="2"/>
  <c r="M12" i="12"/>
  <c r="O13" i="2"/>
  <c r="Q6" i="13"/>
  <c r="S7" i="3"/>
  <c r="I12" i="13"/>
  <c r="K13" i="3"/>
  <c r="J3" i="12"/>
  <c r="L4" i="2"/>
  <c r="N4" i="12"/>
  <c r="P5" i="2"/>
  <c r="R5" i="12"/>
  <c r="T6" i="2"/>
  <c r="J7" i="12"/>
  <c r="L8" i="2"/>
  <c r="N8" i="12"/>
  <c r="P9" i="2"/>
  <c r="R9" i="12"/>
  <c r="T10" i="2"/>
  <c r="J11" i="12"/>
  <c r="L12" i="2"/>
  <c r="N12" i="12"/>
  <c r="P13" i="2"/>
  <c r="O2" i="12"/>
  <c r="Q3" i="2"/>
  <c r="G4" i="12"/>
  <c r="I5" i="2"/>
  <c r="K5" i="12"/>
  <c r="M6" i="2"/>
  <c r="O6" i="12"/>
  <c r="Q7" i="2"/>
  <c r="G8" i="12"/>
  <c r="I9" i="2"/>
  <c r="K9" i="12"/>
  <c r="M10" i="2"/>
  <c r="O10" i="12"/>
  <c r="Q11" i="2"/>
  <c r="G12" i="12"/>
  <c r="I13" i="2"/>
  <c r="H8" i="12"/>
  <c r="J9" i="2"/>
  <c r="L9" i="12"/>
  <c r="N10" i="2"/>
  <c r="P10" i="12"/>
  <c r="R11" i="2"/>
  <c r="H12" i="12"/>
  <c r="J13" i="2"/>
  <c r="L2" i="13"/>
  <c r="N3" i="3"/>
  <c r="P3" i="13"/>
  <c r="R4" i="3"/>
  <c r="H5" i="13"/>
  <c r="J6" i="3"/>
  <c r="L6" i="13"/>
  <c r="N7" i="3"/>
  <c r="P7" i="13"/>
  <c r="R8" i="3"/>
  <c r="H9" i="13"/>
  <c r="J10" i="3"/>
  <c r="L10" i="13"/>
  <c r="N11" i="3"/>
  <c r="P11" i="13"/>
  <c r="R12" i="3"/>
  <c r="H3" i="11"/>
  <c r="F4" i="1"/>
  <c r="P10" i="11"/>
  <c r="N11" i="1"/>
  <c r="K6" i="11"/>
  <c r="I7" i="1"/>
  <c r="H12" i="11"/>
  <c r="F13" i="1"/>
  <c r="I3" i="11"/>
  <c r="G4" i="1"/>
  <c r="P4" i="11"/>
  <c r="N5" i="1"/>
  <c r="H6" i="11"/>
  <c r="F7" i="1"/>
  <c r="I8" i="11"/>
  <c r="G9" i="1"/>
  <c r="Q10" i="11"/>
  <c r="O11" i="1"/>
  <c r="N2" i="11"/>
  <c r="L3" i="1"/>
  <c r="M5" i="11"/>
  <c r="K6" i="1"/>
  <c r="H7" i="11"/>
  <c r="F8" i="1"/>
  <c r="P9" i="11"/>
  <c r="N10" i="1"/>
  <c r="L12" i="11"/>
  <c r="J13" i="1"/>
  <c r="G3" i="11"/>
  <c r="E4" i="1"/>
  <c r="N4" i="11"/>
  <c r="L5" i="1"/>
  <c r="R5" i="11"/>
  <c r="P6" i="1"/>
  <c r="Q7" i="11"/>
  <c r="O8" i="1"/>
  <c r="M10" i="11"/>
  <c r="K11" i="1"/>
  <c r="J7" i="11"/>
  <c r="H8" i="1"/>
  <c r="N8" i="11"/>
  <c r="L9" i="1"/>
  <c r="R9" i="11"/>
  <c r="P10" i="1"/>
  <c r="J11" i="11"/>
  <c r="H12" i="1"/>
  <c r="N12" i="11"/>
  <c r="L13" i="1"/>
  <c r="K7" i="11"/>
  <c r="I8" i="1"/>
  <c r="O8" i="11"/>
  <c r="M9" i="1"/>
  <c r="K11" i="11"/>
  <c r="I12" i="1"/>
  <c r="O12" i="11"/>
  <c r="M13" i="1"/>
  <c r="G12" i="13"/>
  <c r="I13" i="3"/>
  <c r="K9" i="13"/>
  <c r="M10" i="3"/>
  <c r="G10" i="13"/>
  <c r="T8" i="9"/>
  <c r="U8" i="3" s="1"/>
  <c r="O11" i="13"/>
  <c r="Q12" i="3"/>
  <c r="K10" i="13"/>
  <c r="M11" i="3"/>
  <c r="G9" i="13"/>
  <c r="I10" i="3"/>
  <c r="O7" i="13"/>
  <c r="Q8" i="3"/>
  <c r="K6" i="13"/>
  <c r="M7" i="3"/>
  <c r="G5" i="13"/>
  <c r="I6" i="3"/>
  <c r="O3" i="13"/>
  <c r="Q4" i="3"/>
  <c r="K2" i="13"/>
  <c r="M3" i="3"/>
  <c r="R11" i="13"/>
  <c r="T12" i="3"/>
  <c r="N10" i="13"/>
  <c r="P11" i="3"/>
  <c r="J9" i="13"/>
  <c r="L10" i="3"/>
  <c r="R7" i="13"/>
  <c r="T8" i="3"/>
  <c r="N6" i="13"/>
  <c r="P7" i="3"/>
  <c r="J5" i="13"/>
  <c r="L6" i="3"/>
  <c r="R3" i="13"/>
  <c r="T4" i="3"/>
  <c r="N2" i="13"/>
  <c r="P3" i="3"/>
  <c r="P2" i="11"/>
  <c r="N3" i="1"/>
  <c r="L4" i="12"/>
  <c r="N5" i="2"/>
  <c r="L2" i="12"/>
  <c r="N3" i="2"/>
  <c r="I7" i="13"/>
  <c r="K8" i="3"/>
  <c r="Q8" i="12"/>
  <c r="S9" i="2"/>
  <c r="L6" i="12"/>
  <c r="N7" i="2"/>
  <c r="M2" i="12"/>
  <c r="O3" i="2"/>
  <c r="I5" i="12"/>
  <c r="K6" i="2"/>
  <c r="Q7" i="12"/>
  <c r="S8" i="2"/>
  <c r="I2" i="13"/>
  <c r="K3" i="3"/>
  <c r="M7" i="13"/>
  <c r="O8" i="3"/>
  <c r="Q12" i="13"/>
  <c r="S13" i="3"/>
  <c r="H4" i="12"/>
  <c r="J5" i="2"/>
  <c r="P6" i="12"/>
  <c r="R7" i="2"/>
  <c r="Q10" i="12"/>
  <c r="S11" i="2"/>
  <c r="I5" i="13"/>
  <c r="K6" i="3"/>
  <c r="M10" i="13"/>
  <c r="O11" i="3"/>
  <c r="Q2" i="12"/>
  <c r="S3" i="2"/>
  <c r="M5" i="12"/>
  <c r="O6" i="2"/>
  <c r="M8" i="12"/>
  <c r="O9" i="2"/>
  <c r="Q2" i="13"/>
  <c r="S3" i="3"/>
  <c r="I8" i="13"/>
  <c r="K9" i="3"/>
  <c r="J2" i="12"/>
  <c r="L3" i="2"/>
  <c r="N3" i="12"/>
  <c r="P4" i="2"/>
  <c r="R4" i="12"/>
  <c r="T5" i="2"/>
  <c r="J6" i="12"/>
  <c r="L7" i="2"/>
  <c r="N7" i="12"/>
  <c r="P8" i="2"/>
  <c r="R8" i="12"/>
  <c r="T9" i="2"/>
  <c r="J10" i="12"/>
  <c r="L11" i="2"/>
  <c r="N11" i="12"/>
  <c r="P12" i="2"/>
  <c r="R12" i="12"/>
  <c r="T13" i="2"/>
  <c r="G3" i="12"/>
  <c r="I4" i="2"/>
  <c r="K4" i="12"/>
  <c r="M5" i="2"/>
  <c r="O5" i="12"/>
  <c r="Q6" i="2"/>
  <c r="G7" i="12"/>
  <c r="I8" i="2"/>
  <c r="K8" i="12"/>
  <c r="M9" i="2"/>
  <c r="O9" i="12"/>
  <c r="Q10" i="2"/>
  <c r="G11" i="12"/>
  <c r="I12" i="2"/>
  <c r="K12" i="12"/>
  <c r="M13" i="2"/>
  <c r="L8" i="12"/>
  <c r="N9" i="2"/>
  <c r="P9" i="12"/>
  <c r="R10" i="2"/>
  <c r="H11" i="12"/>
  <c r="J12" i="2"/>
  <c r="L12" i="12"/>
  <c r="N13" i="2"/>
  <c r="P2" i="13"/>
  <c r="R3" i="3"/>
  <c r="H4" i="13"/>
  <c r="J5" i="3"/>
  <c r="L5" i="13"/>
  <c r="N6" i="3"/>
  <c r="P6" i="13"/>
  <c r="R7" i="3"/>
  <c r="H8" i="13"/>
  <c r="J9" i="3"/>
  <c r="L9" i="13"/>
  <c r="N10" i="3"/>
  <c r="P10" i="13"/>
  <c r="R11" i="3"/>
  <c r="H12" i="13"/>
  <c r="J13" i="3"/>
  <c r="O4" i="11"/>
  <c r="M5" i="1"/>
  <c r="H2" i="11"/>
  <c r="F3" i="1"/>
  <c r="P8" i="11"/>
  <c r="N9" i="1"/>
  <c r="K5" i="11"/>
  <c r="I6" i="1"/>
  <c r="I2" i="11"/>
  <c r="G3" i="1"/>
  <c r="N3" i="11"/>
  <c r="L4" i="1"/>
  <c r="H5" i="11"/>
  <c r="F6" i="1"/>
  <c r="L6" i="11"/>
  <c r="J7" i="1"/>
  <c r="Q8" i="11"/>
  <c r="O9" i="1"/>
  <c r="M11" i="11"/>
  <c r="K12" i="1"/>
  <c r="R2" i="11"/>
  <c r="P3" i="1"/>
  <c r="M4" i="11"/>
  <c r="K5" i="1"/>
  <c r="Q5" i="11"/>
  <c r="O6" i="1"/>
  <c r="P7" i="11"/>
  <c r="N8" i="1"/>
  <c r="L10" i="11"/>
  <c r="J11" i="1"/>
  <c r="G2" i="11"/>
  <c r="E3" i="1"/>
  <c r="K3" i="11"/>
  <c r="I4" i="1"/>
  <c r="R4" i="11"/>
  <c r="P5" i="1"/>
  <c r="J6" i="11"/>
  <c r="H7" i="1"/>
  <c r="M8" i="11"/>
  <c r="K9" i="1"/>
  <c r="Q11" i="11"/>
  <c r="O12" i="1"/>
  <c r="N7" i="11"/>
  <c r="L8" i="1"/>
  <c r="R8" i="11"/>
  <c r="P9" i="1"/>
  <c r="J10" i="11"/>
  <c r="H11" i="1"/>
  <c r="N11" i="11"/>
  <c r="L12" i="1"/>
  <c r="R12" i="11"/>
  <c r="P13" i="1"/>
  <c r="O7" i="11"/>
  <c r="M8" i="1"/>
  <c r="G9" i="11"/>
  <c r="E10" i="1"/>
  <c r="K10" i="11"/>
  <c r="I11" i="1"/>
  <c r="O11" i="11"/>
  <c r="M12" i="1"/>
  <c r="S7" i="12"/>
  <c r="U8" i="2"/>
  <c r="G8" i="8"/>
  <c r="S3" i="13"/>
  <c r="S12" i="11"/>
  <c r="G13" i="7"/>
  <c r="Q13" i="1"/>
  <c r="G9" i="9"/>
  <c r="S8" i="13"/>
  <c r="U9" i="3"/>
  <c r="S9" i="13"/>
  <c r="G10" i="9"/>
  <c r="U10" i="3"/>
  <c r="G10" i="7"/>
  <c r="S9" i="11"/>
  <c r="Q10" i="1"/>
  <c r="G7" i="7"/>
  <c r="Q7" i="1"/>
  <c r="S10" i="11"/>
  <c r="Q11" i="1"/>
  <c r="G11" i="7"/>
  <c r="S10" i="12"/>
  <c r="G11" i="8"/>
  <c r="U11" i="2"/>
  <c r="G6" i="8"/>
  <c r="S4" i="11"/>
  <c r="G5" i="7"/>
  <c r="Q5" i="1"/>
  <c r="S4" i="12"/>
  <c r="G5" i="8"/>
  <c r="U5" i="2"/>
  <c r="S2" i="11"/>
  <c r="Q3" i="1"/>
  <c r="G3" i="7"/>
  <c r="S7" i="11"/>
  <c r="G8" i="7"/>
  <c r="Q8" i="1"/>
  <c r="G13" i="9"/>
  <c r="S11" i="13"/>
  <c r="S8" i="11"/>
  <c r="G9" i="7"/>
  <c r="Q9" i="1"/>
  <c r="S3" i="12"/>
  <c r="U4" i="2"/>
  <c r="G4" i="8"/>
  <c r="S12" i="12"/>
  <c r="G13" i="8"/>
  <c r="U13" i="2"/>
  <c r="S6" i="12"/>
  <c r="G7" i="8"/>
  <c r="U7" i="2"/>
  <c r="S4" i="13"/>
  <c r="U5" i="3"/>
  <c r="G5" i="9"/>
  <c r="S11" i="12"/>
  <c r="U12" i="2"/>
  <c r="G12" i="8"/>
  <c r="S5" i="13"/>
  <c r="G6" i="9"/>
  <c r="U6" i="3"/>
  <c r="S8" i="12"/>
  <c r="G9" i="8"/>
  <c r="S2" i="12"/>
  <c r="G3" i="8"/>
  <c r="U3" i="2"/>
  <c r="S3" i="11"/>
  <c r="Q4" i="1"/>
  <c r="G4" i="7"/>
  <c r="S11" i="11"/>
  <c r="Q12" i="1"/>
  <c r="S5" i="11"/>
  <c r="G6" i="7"/>
  <c r="Q6" i="1"/>
  <c r="S7" i="13" l="1"/>
  <c r="U13" i="3"/>
  <c r="U6" i="2"/>
  <c r="G8" i="9"/>
  <c r="G12" i="9"/>
  <c r="H12" i="3" s="1"/>
  <c r="G4" i="9"/>
  <c r="S9" i="12"/>
  <c r="U10" i="2"/>
  <c r="G10" i="8"/>
  <c r="S2" i="13"/>
  <c r="U3" i="3"/>
  <c r="G3" i="9"/>
  <c r="S6" i="13"/>
  <c r="U7" i="3"/>
  <c r="G7" i="9"/>
  <c r="U11" i="3"/>
  <c r="G11" i="9"/>
  <c r="S10" i="13"/>
  <c r="F6" i="12"/>
  <c r="H7" i="2"/>
  <c r="F11" i="13"/>
  <c r="F4" i="12"/>
  <c r="H5" i="2"/>
  <c r="F6" i="11"/>
  <c r="D7" i="1"/>
  <c r="F11" i="11"/>
  <c r="D12" i="1"/>
  <c r="F5" i="13"/>
  <c r="H6" i="3"/>
  <c r="F3" i="12"/>
  <c r="H4" i="2"/>
  <c r="F7" i="12"/>
  <c r="H8" i="2"/>
  <c r="F2" i="11"/>
  <c r="D3" i="1"/>
  <c r="F10" i="11"/>
  <c r="D11" i="1"/>
  <c r="F9" i="11"/>
  <c r="D10" i="1"/>
  <c r="F5" i="11"/>
  <c r="D6" i="1"/>
  <c r="F9" i="13"/>
  <c r="H10" i="3"/>
  <c r="F8" i="13"/>
  <c r="H9" i="3"/>
  <c r="F12" i="13"/>
  <c r="H13" i="3"/>
  <c r="F12" i="11"/>
  <c r="D13" i="1"/>
  <c r="F8" i="12"/>
  <c r="H9" i="2"/>
  <c r="F4" i="13"/>
  <c r="H5" i="3"/>
  <c r="F7" i="11"/>
  <c r="D8" i="1"/>
  <c r="F7" i="13"/>
  <c r="H8" i="3"/>
  <c r="F3" i="11"/>
  <c r="D4" i="1"/>
  <c r="F2" i="12"/>
  <c r="H3" i="2"/>
  <c r="F11" i="12"/>
  <c r="H12" i="2"/>
  <c r="F12" i="12"/>
  <c r="H13" i="2"/>
  <c r="F8" i="11"/>
  <c r="D9" i="1"/>
  <c r="F4" i="11"/>
  <c r="D5" i="1"/>
  <c r="F5" i="12"/>
  <c r="H6" i="2"/>
  <c r="F10" i="12"/>
  <c r="H11" i="2"/>
  <c r="F3" i="13"/>
  <c r="H4" i="3"/>
  <c r="H11" i="3" l="1"/>
  <c r="F10" i="13"/>
  <c r="H10" i="2"/>
  <c r="F9" i="12"/>
  <c r="H3" i="3"/>
  <c r="F2" i="13"/>
  <c r="F6" i="13"/>
  <c r="H7" i="3"/>
</calcChain>
</file>

<file path=xl/sharedStrings.xml><?xml version="1.0" encoding="utf-8"?>
<sst xmlns="http://schemas.openxmlformats.org/spreadsheetml/2006/main" count="2190" uniqueCount="555">
  <si>
    <t>SISTEMA MUNICIPAL DE GESTION DE RESULTADOS</t>
  </si>
  <si>
    <t>PERIODO REPORTADO</t>
  </si>
  <si>
    <t>OCTUBRE 2024-SEPTIEMBRE 2025</t>
  </si>
  <si>
    <t>COORDINACION</t>
  </si>
  <si>
    <t>DEPARTAMENTO</t>
  </si>
  <si>
    <t>INDICADORES</t>
  </si>
  <si>
    <t>META ANUAL</t>
  </si>
  <si>
    <t>UNIDAD DE MEDIDA</t>
  </si>
  <si>
    <t>TIPO DE INDICADOR</t>
  </si>
  <si>
    <t>MEDIO DE VERIFICACION</t>
  </si>
  <si>
    <t xml:space="preserve">% AVANCE </t>
  </si>
  <si>
    <t>OCTUBRE</t>
  </si>
  <si>
    <t>NOVIEMBRE</t>
  </si>
  <si>
    <t>DICIEMBRE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</si>
  <si>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</si>
  <si>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</si>
  <si>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</si>
  <si>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</si>
  <si>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</si>
  <si>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</si>
  <si>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</si>
  <si>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</si>
  <si>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</si>
  <si>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SUMATORIA TOTAL</t>
  </si>
  <si>
    <t>PRESIDENCIA</t>
  </si>
  <si>
    <t>CITAS AGENDADAS</t>
  </si>
  <si>
    <t>PERSONAS ATENDIDAS</t>
  </si>
  <si>
    <t>ASUNTOS DEL INTERIOR</t>
  </si>
  <si>
    <t xml:space="preserve">ACUERDOS </t>
  </si>
  <si>
    <t>TRANSPARENCIA</t>
  </si>
  <si>
    <t>SOLICITUDES DE INFORMACION ATENDIDAS</t>
  </si>
  <si>
    <t>CAPACITACIONES TRANSPARENCIA</t>
  </si>
  <si>
    <t>COMUNICACIÓN SOCIAL</t>
  </si>
  <si>
    <t>NOTAS (COBERTURA DE EVENTOS)</t>
  </si>
  <si>
    <t>DISEÑOS</t>
  </si>
  <si>
    <t>PUBLICACIONES</t>
  </si>
  <si>
    <t>GESTION DE PROYECTOS</t>
  </si>
  <si>
    <t>PROGRAMAS IMPLEMENTADOS</t>
  </si>
  <si>
    <t>PERSONAS BENEFICIADAS</t>
  </si>
  <si>
    <t>SINDICATURA</t>
  </si>
  <si>
    <t>PREVENCION SOCIAL</t>
  </si>
  <si>
    <t>DIRECCION JURIDICA</t>
  </si>
  <si>
    <t>NUMERO DE JUICIOS ATENDIDOS</t>
  </si>
  <si>
    <t>SUB DIRECCION JURIDICA</t>
  </si>
  <si>
    <t>NUMERO DE ASESORIAS JURIDICAS</t>
  </si>
  <si>
    <t>PERSONAS BENEFICIADAS SIPPINA</t>
  </si>
  <si>
    <t>JUZGADOS MUNICIPALES</t>
  </si>
  <si>
    <t>AUTOS PUESTOS A DISPOCISION</t>
  </si>
  <si>
    <t>MOTOS PUESTAS A DISPOSICION</t>
  </si>
  <si>
    <t>PERSONAS DETENIDAS POR FALTAS ADMINISTRATIVAS</t>
  </si>
  <si>
    <t>SECRETARIA GENERAL</t>
  </si>
  <si>
    <t>SESIONES DE AYUNTAMIENTO</t>
  </si>
  <si>
    <t>CONSTANCIAS</t>
  </si>
  <si>
    <t>TRAMITES DE CARTILLA</t>
  </si>
  <si>
    <t>CEMENTERIOS</t>
  </si>
  <si>
    <t>TITULOS DE CONCESION</t>
  </si>
  <si>
    <t>EXHUMACIONES</t>
  </si>
  <si>
    <t>CAMBIOS DE PROPIETARIO</t>
  </si>
  <si>
    <t>MANTENIMIENTO DE FOSA</t>
  </si>
  <si>
    <t>TRAMITE DE REGULARIZACION</t>
  </si>
  <si>
    <t>REGISTRO CIVIL</t>
  </si>
  <si>
    <t>NACIMIENTOS</t>
  </si>
  <si>
    <t>DEFUNCIONES</t>
  </si>
  <si>
    <t>DIVORCIOS</t>
  </si>
  <si>
    <t>MATRIMONIO</t>
  </si>
  <si>
    <t>ACLARACIONES</t>
  </si>
  <si>
    <t>EXPEDICION DE ACTAS</t>
  </si>
  <si>
    <t>GABINETE</t>
  </si>
  <si>
    <t>JEFATURA DE MOVILIDAD Y TRANSPORTE</t>
  </si>
  <si>
    <t>M2 DE SEÑALAMIENTOS HORIZONTALES</t>
  </si>
  <si>
    <t>NUMERO DE SEÑALAMIENTOS VERTICALES</t>
  </si>
  <si>
    <t>DICTAMINACION DE TOPES</t>
  </si>
  <si>
    <t>DICTAMINACION DE ESPACIOS EXCLUSIVOS</t>
  </si>
  <si>
    <t>PROYECTOS DE INTERVENCION</t>
  </si>
  <si>
    <t>ENLACE METROPOLITANO</t>
  </si>
  <si>
    <t>SESIONES DE MESAS METROPOLITANAS</t>
  </si>
  <si>
    <t>SEGUIMIENTO DE ACUERDOS METROPOLITANOS</t>
  </si>
  <si>
    <t>SESIONES DE GRUPOS DE TRABAJO</t>
  </si>
  <si>
    <t>GESTION DE CALIDAD</t>
  </si>
  <si>
    <t>DISEÑO DE HERRAMIENTAS</t>
  </si>
  <si>
    <t xml:space="preserve">ACTUALIZACION DE HERRAMIENTAS </t>
  </si>
  <si>
    <t>SEGUIMIENTO DE ACUERDOS</t>
  </si>
  <si>
    <t>ACTUALIZACION DE INSTRUMENTOS PLANEACION</t>
  </si>
  <si>
    <t>INCLUSION SOCIAL</t>
  </si>
  <si>
    <t>ACTUALIZACION DE INSTRUMENTOS SIG</t>
  </si>
  <si>
    <t>SEGUIMIENTO DE REPORTES ACCESIBILIDAD UNIVERSAL</t>
  </si>
  <si>
    <t>TESORERIA</t>
  </si>
  <si>
    <t>CATASTRO</t>
  </si>
  <si>
    <t>CERTIFICACIONES</t>
  </si>
  <si>
    <t>de Julio de 2025</t>
  </si>
  <si>
    <t>COPIAS</t>
  </si>
  <si>
    <t>VALUACION Y CARTOGRAFIA</t>
  </si>
  <si>
    <t>TRAMITES Y REGISTRO</t>
  </si>
  <si>
    <t>CONTABILIDAD</t>
  </si>
  <si>
    <t>ENTREGA DE CUENTAS PUBLICAS</t>
  </si>
  <si>
    <t>ATENCION A AUDITORIAS ESTATALES</t>
  </si>
  <si>
    <t>ATENCION A AUDITORIAS INTERNAS</t>
  </si>
  <si>
    <t>AVANCE PRESUPUESTAL</t>
  </si>
  <si>
    <t>AVANCE RECAUDATORIO</t>
  </si>
  <si>
    <t>ATENCION A AUDITORIAS FEDERALES</t>
  </si>
  <si>
    <t>APREMIOS Y COBRANZA</t>
  </si>
  <si>
    <t>NOTIFICACIONES AGUA</t>
  </si>
  <si>
    <t>NOTIFICACIONES PREDIAL</t>
  </si>
  <si>
    <t>DETECCION TOMAS CLANDESTINAS</t>
  </si>
  <si>
    <t>INVITACIONES DE PAGO</t>
  </si>
  <si>
    <t>INFRAESTRUCTURA TECNOLOGIAS INFORMACION</t>
  </si>
  <si>
    <t>SOPORTES TECNICOS</t>
  </si>
  <si>
    <t>PADRON Y LICENCIAS</t>
  </si>
  <si>
    <t>LICENCIAS NUEVAS</t>
  </si>
  <si>
    <t>REFRENDOS</t>
  </si>
  <si>
    <t>CAMBIOS DE DOMICILIO</t>
  </si>
  <si>
    <t>LICENCIAS NUEVAS GIRO RESTRINGIDO</t>
  </si>
  <si>
    <t>REFRENDOS GIRO RESTRINGIDO</t>
  </si>
  <si>
    <t>CAMBIOS DE PROPIETARIO GIRO RESTRINGIDO</t>
  </si>
  <si>
    <t>NUMERO TOTAL DE COMERCIO AMBULANTE</t>
  </si>
  <si>
    <t>ASIGANCION DE ESPACIOS COMERCIO INFORMAL</t>
  </si>
  <si>
    <t>CAMBIOS DE DOMICILIO GIRO RESTRINGIDO</t>
  </si>
  <si>
    <t>ORGANO INTERNO DE CONTROL</t>
  </si>
  <si>
    <t>AUDITORIA A OBRA PUBLICA</t>
  </si>
  <si>
    <t>AUDITORIA INICIADA</t>
  </si>
  <si>
    <t>AUDITORIA EN PROCESO:</t>
  </si>
  <si>
    <t>ACTA CIRCUNSTANCIADA VERIFICADIÓN  FÍSICA</t>
  </si>
  <si>
    <t>MEMORIA FOTOGRAFICAS</t>
  </si>
  <si>
    <t>CÉDULAS DE VERIIFCACIÓN</t>
  </si>
  <si>
    <t>DOCUMENTOS EVALUADOS</t>
  </si>
  <si>
    <t>OBSERVACIONES DE RESULTADOS DE DESEMPEÑO</t>
  </si>
  <si>
    <t>AUDITORIA FINALIZADA</t>
  </si>
  <si>
    <t>AUDITORIA FINANCIERA</t>
  </si>
  <si>
    <t xml:space="preserve">AUDITORÍA A DELEGACIONES (FLUJO DE EFECTIVO EN CAJAS CHICAS Y RECEPCIÓN DE PAGOS) </t>
  </si>
  <si>
    <t xml:space="preserve">AUDITORÍA DE RECURSOS FEDERALES Y ESTATALES (PROGRAMAS DESTINADOS AL FORTALECIMIENTO MUNICIPAL)  </t>
  </si>
  <si>
    <t>AUDITORÍA DE PROCEDIMIENTOS (REGISTRO CIVIL, LICENCIAS, MULTAS, Y RECARGOS)</t>
  </si>
  <si>
    <t>AUDITORÍA DE CAJAS EN TESORERÍA (EMISIÓN DE COMPROBANTES, REGLAMENTACIÓN, Y RESGUARDO DE INFORMACIÓN)</t>
  </si>
  <si>
    <t>AUDITORÍA DEL PATRIMONIO MUNICIPAL (BIENES MUEBLES E INMUEBLES)</t>
  </si>
  <si>
    <t>RESPONSABILIDADES SIDECLARA</t>
  </si>
  <si>
    <t>DECLARACIÓN PATRIMONIAL, INTERÉS Y FÍSCAL INICIALES</t>
  </si>
  <si>
    <t>DECLARACIONES PATRIMONIALES DE CONCLUSIÓN</t>
  </si>
  <si>
    <t>PROCEDIMIENTOS ADMINISTRATIVOS INICIADOS</t>
  </si>
  <si>
    <t>PROCEDIMIENTOS ADMINISTRATIVOS EN PROCESO</t>
  </si>
  <si>
    <t>PROCEDIMIENTOS ADMINISTRATIVOS TERMINADOS</t>
  </si>
  <si>
    <t xml:space="preserve">ADMINISTRACION E INNOVACION </t>
  </si>
  <si>
    <t>PROVEEDURIA</t>
  </si>
  <si>
    <t>PROCESOS DE LICITACION</t>
  </si>
  <si>
    <t>ADJUDICACIONES DIRECTAS</t>
  </si>
  <si>
    <t>REQUISICIONES SURTIDAS</t>
  </si>
  <si>
    <t>VALES DE ALMACEN SURTIDOS</t>
  </si>
  <si>
    <t>PATRIMONIO</t>
  </si>
  <si>
    <t>AUTOMOVILES</t>
  </si>
  <si>
    <t>CAMIONETAS PICK UP</t>
  </si>
  <si>
    <t>MOTOCICLETAS</t>
  </si>
  <si>
    <t>CAMIONETAS DE CARGA LIVIANA</t>
  </si>
  <si>
    <t>CAMIONES DE CARGA</t>
  </si>
  <si>
    <t>CAMIONES DE PASAJEROS</t>
  </si>
  <si>
    <t>MAQUINARIA PESADA</t>
  </si>
  <si>
    <t>DESINCORPORACIÓN DE VEHÍCULOS DEL PARQUE VEHICULAR</t>
  </si>
  <si>
    <t>RESGUARDOS DE VEHICULOS</t>
  </si>
  <si>
    <t>REFRENDOS ANUALES</t>
  </si>
  <si>
    <t>CONTROL Y PAGO DE INFRACCIONES</t>
  </si>
  <si>
    <t>POLIZAS DE SEGURO</t>
  </si>
  <si>
    <t>INVENTARIO DE BIENES MUEBLES</t>
  </si>
  <si>
    <t>DESINCORPORACIÓN DE BIENES MUEBLES</t>
  </si>
  <si>
    <t>INVENTARIO DE BIENES INMUEBLES</t>
  </si>
  <si>
    <t>DESINCORPORACIÓN DE BIENES  INMUEBLES</t>
  </si>
  <si>
    <t xml:space="preserve">TELEFONOS MOVILES </t>
  </si>
  <si>
    <t>VERIFICACION VEHICULAR</t>
  </si>
  <si>
    <t>RADIOS DE COMUNICACIÓN</t>
  </si>
  <si>
    <t>RECURSOS HUMANOS</t>
  </si>
  <si>
    <t>TOTAL DE PLANTILLA DE PERSONAL</t>
  </si>
  <si>
    <t>HOMBRES</t>
  </si>
  <si>
    <t>MUJERES</t>
  </si>
  <si>
    <t>ALTAS DE PERSONAL</t>
  </si>
  <si>
    <t>BAJAS DE PERSONAL</t>
  </si>
  <si>
    <t>AUSENTISMO (PERSONAS)</t>
  </si>
  <si>
    <t>JUBILADOS</t>
  </si>
  <si>
    <t>PENSIONADOS</t>
  </si>
  <si>
    <t>CONTROL DE ABASTO DE COMBUSTIBLE</t>
  </si>
  <si>
    <t>TOTAL DE VEHICULOS QUE CARGARON COMBUSTIBLE</t>
  </si>
  <si>
    <t>VEHICULOS OFICIALES A GASOLINA</t>
  </si>
  <si>
    <t>NÚMERO DE VECES QUE CARGARON COMBUSTIBLE</t>
  </si>
  <si>
    <t>TOTAL DE LITROS DE GASOLINA DESPACHADA</t>
  </si>
  <si>
    <t>MOTOCICLETAS OFICIALES</t>
  </si>
  <si>
    <t>VEHICULOS PARTICULARES</t>
  </si>
  <si>
    <t>MOTOCICLETAS PARTICULARES</t>
  </si>
  <si>
    <t>TOTAL  DE  NOTAS PARA FACTURAR</t>
  </si>
  <si>
    <t>MONTO MENSUAL A PAGAR (EN PESOS)</t>
  </si>
  <si>
    <t>VEHICULOS OFICIALES A DIESEL</t>
  </si>
  <si>
    <t>TOTAL DE LITROS DE DIESEL DESPACHADO</t>
  </si>
  <si>
    <t>VEHICULOS DE SEGURIDAD PUBLICA</t>
  </si>
  <si>
    <t>MOTOCICLETAS DE SEGURIDAD PUBLICA</t>
  </si>
  <si>
    <t>SERVICIOS MEDICOS MUNICIPALES</t>
  </si>
  <si>
    <t>CONSULTAS MÉDICAS DOMICILIARIAS</t>
  </si>
  <si>
    <t>TOTAL DE TRASLADOS</t>
  </si>
  <si>
    <t>CAMPAÑAS DE PREVENCIÓN EN SALUD PÚBLICA</t>
  </si>
  <si>
    <t>CAMPAÑAS DE VACUNACIÓN</t>
  </si>
  <si>
    <t>PERSONAS VACUNADAS</t>
  </si>
  <si>
    <t>ATENCIONES DE LABORATORIO DE ANÁLISIS CLÍNICOS</t>
  </si>
  <si>
    <t>APOYO DE AMBULANCIA EN EVENTOS PUBLICOS</t>
  </si>
  <si>
    <t>NÚMERO DE EVALUACIONES</t>
  </si>
  <si>
    <t>TOTAL DE EXÁMENES MÉDICOS</t>
  </si>
  <si>
    <t>CONSULTAS PSICOLÓGICAS</t>
  </si>
  <si>
    <t>DERIVACIÓN DE CASOS (SEGUNDO NIVEL PSIQUIATRÍA,HCG, ISSSTE, SSJ, CISAME, ETC.))</t>
  </si>
  <si>
    <t>CONSULTAS NUTRICIONALES</t>
  </si>
  <si>
    <t>CONSULTAS DENTALES A PERSONAL DEL AYUNTAMIENTO</t>
  </si>
  <si>
    <t>CONSULTAS DENTALES A POBLACION ABIERTA</t>
  </si>
  <si>
    <t>CONSULTAS MEDICAS A PERSONAL DEL AYUNTAMIENTO</t>
  </si>
  <si>
    <t>CONSULTAS MEDICAS A POBLACION EN GENERAL</t>
  </si>
  <si>
    <t>INCAPACIDADES OTORGADAS A SERVIDORES PUBLICOS</t>
  </si>
  <si>
    <t>DIAS DE INCAPACIDAD OTORGADOS</t>
  </si>
  <si>
    <t>RECETAS EXPEDIDAS A PERSONAL DEL AYUNTAMIENTO</t>
  </si>
  <si>
    <t>RECETAS EXPEDIDAS A POBLACION EN GENERAL</t>
  </si>
  <si>
    <t>EMERGENCIAS ATENDIDAS EN LA UNIDAD MEDICA</t>
  </si>
  <si>
    <t>EMERGENCIAS ATENDIDAS EN VIA PUBLICA</t>
  </si>
  <si>
    <t>CERTIFICADOS MEDICOS EXPEDIDOS A PERSONAL DEL AYUNTAMIENTO</t>
  </si>
  <si>
    <t>CERTIFICADOS MEDICOS EXPEDIDOS A POBLACION EN GENERAL</t>
  </si>
  <si>
    <t xml:space="preserve">PLÁTICAS DE NUTRICIÓN, MEDICINA DENTAL Y ENFERMERÍA </t>
  </si>
  <si>
    <t>NÚMERO DE ASISTENTES</t>
  </si>
  <si>
    <t>VISITAS A CENTRO DE TRABAJO</t>
  </si>
  <si>
    <t>TOTAL DE ATENCIONES EN EMERGENCIAS</t>
  </si>
  <si>
    <t>HOSPITALIZACIONES</t>
  </si>
  <si>
    <t>CURACIONES</t>
  </si>
  <si>
    <t>SUTURAS</t>
  </si>
  <si>
    <t>ATENCIÓN DE LESIONES</t>
  </si>
  <si>
    <t>RETIRO DE PUNTOS DE SUTURA</t>
  </si>
  <si>
    <t>APLICACIÓN DE MEDICAMENTOS</t>
  </si>
  <si>
    <t>APLICACIÓN DE VENDAJE</t>
  </si>
  <si>
    <t>APLICACIÓN DE YESO</t>
  </si>
  <si>
    <t>TERAPIA DE REHIDRATACIÓN</t>
  </si>
  <si>
    <t>ATENCIONES POR INHALOTERAPIA</t>
  </si>
  <si>
    <t>DESARROLLO ECONOMICO</t>
  </si>
  <si>
    <t xml:space="preserve">EVENTOS QUE PROMUEVAN EL DESARROLLO ECONOMICO O RURAL DEL MUNICIPIO </t>
  </si>
  <si>
    <t>EVENTOS</t>
  </si>
  <si>
    <t>ASISTENTES TOTALES AL EVENTO</t>
  </si>
  <si>
    <t>ASISTENTES</t>
  </si>
  <si>
    <t xml:space="preserve">EMPRESAS BENEFICIADAS CON LOS EVENTOS </t>
  </si>
  <si>
    <t>EMPRESAS BENEFICIADAS</t>
  </si>
  <si>
    <t>CAPACITACIONES / TALLERES DE DESARROLLO ECONOMICO</t>
  </si>
  <si>
    <t>CAPACITACIONES</t>
  </si>
  <si>
    <t>ASISTENTES TOTALES A LAS CAPACITACIONES</t>
  </si>
  <si>
    <t>PROYECTOS PARA PROMOVER EL DESARROLLO ECONOMICO</t>
  </si>
  <si>
    <t>PROYECTOS EJECUTADOS</t>
  </si>
  <si>
    <t>SERVICIOS Y/O PROCEDIMIENTOS</t>
  </si>
  <si>
    <t>PROCEDIMIENTOS</t>
  </si>
  <si>
    <t xml:space="preserve">REUNIONES CON EMPRENDEDORES Y/O EMPRESARIOS PARA PROMOVER LA ECONOMIA   </t>
  </si>
  <si>
    <t>REUNIONES</t>
  </si>
  <si>
    <t>DESARROLLO RURAL</t>
  </si>
  <si>
    <t>ATENCION A PRODUCTORES</t>
  </si>
  <si>
    <t>ATENCIONES</t>
  </si>
  <si>
    <t>PROYECTOS ESTRATEGICOS PARA EL CAMPO</t>
  </si>
  <si>
    <t>REUNIONES FEDERALES APLICADO EN EL DESARROLLO DEL CAMPO</t>
  </si>
  <si>
    <t>REUNIONES ESTATALES APLICADO EN EL DESARROLLO DEL CAMPO</t>
  </si>
  <si>
    <t>REUNIONES MUNICIPALES APLICADOS AL DESARROLLO RURAL</t>
  </si>
  <si>
    <t>PERSONAS</t>
  </si>
  <si>
    <t xml:space="preserve">PRODUCTORES DEL CAMPO ATENDIDOS </t>
  </si>
  <si>
    <t>PRODUCTORES</t>
  </si>
  <si>
    <t>ASESORIAS IMPARTIDAS EN TEMAS RELACIONADOS AL CAMPO</t>
  </si>
  <si>
    <t>ASESORIAS</t>
  </si>
  <si>
    <t>CONSTRUCCION DE LA COMUNIDAD</t>
  </si>
  <si>
    <t>PARTICIPACION CIUDADANA</t>
  </si>
  <si>
    <t>COMITES VECINALES INSTALADOS</t>
  </si>
  <si>
    <t>COMITES DE OBRA INSTALADOS</t>
  </si>
  <si>
    <t>CULTURA</t>
  </si>
  <si>
    <t xml:space="preserve">EVENTOS REALIZADOS </t>
  </si>
  <si>
    <t>SESIONES DE TALLERES CULTURALES</t>
  </si>
  <si>
    <t>DEPORTES</t>
  </si>
  <si>
    <t>Clases Escuela de Fútbol</t>
  </si>
  <si>
    <t>Clases Escuela de Básquetbol</t>
  </si>
  <si>
    <t>Clases Escuelas de Voleibol</t>
  </si>
  <si>
    <t>Clases Escuela de Box</t>
  </si>
  <si>
    <t>Clases Escuela de Natación</t>
  </si>
  <si>
    <t>Clases Gimnasio Municipal</t>
  </si>
  <si>
    <t>EVENTOS REALIZADOS</t>
  </si>
  <si>
    <t>TOTAL DE PERSONAS BENEFICIADAS</t>
  </si>
  <si>
    <t>TURISMO</t>
  </si>
  <si>
    <t>EDUCACION</t>
  </si>
  <si>
    <t>ESCUELAS BENEFICIADAS</t>
  </si>
  <si>
    <t>IGUALDAD SUSTANTIVA</t>
  </si>
  <si>
    <t>PROGRAMAS SOCIALES</t>
  </si>
  <si>
    <t>JUVENTUDES</t>
  </si>
  <si>
    <t>MURALISMO</t>
  </si>
  <si>
    <t>M2 REALIZADOS</t>
  </si>
  <si>
    <t>MURALES TERMINADOS</t>
  </si>
  <si>
    <t>ADMINISTRACION CDC BELLAVISTA</t>
  </si>
  <si>
    <t>TALLERES REALIZADOS</t>
  </si>
  <si>
    <t>ADMINISTRACION CDC LA CEJA</t>
  </si>
  <si>
    <t>SERVICIOS GENERALES</t>
  </si>
  <si>
    <t>AGUA POTABLE</t>
  </si>
  <si>
    <t>MANTENIMEINTO A INFRAESTRUCTURA</t>
  </si>
  <si>
    <t>ASCENDENTE</t>
  </si>
  <si>
    <t>BITACORA DE ATENCION</t>
  </si>
  <si>
    <t>REPORTES ATENDIDOS</t>
  </si>
  <si>
    <t>DESCENDENTE</t>
  </si>
  <si>
    <t>RECONEXIONES DE TOMAS</t>
  </si>
  <si>
    <t>TOMAS SOPLETEADAS</t>
  </si>
  <si>
    <t>BITACORA OPERATIVA</t>
  </si>
  <si>
    <t>TOMAS SUSPENDIDAS</t>
  </si>
  <si>
    <t>REPARACIONES</t>
  </si>
  <si>
    <t>CAMBIOS DE NOMBRES</t>
  </si>
  <si>
    <t>NUEVAS TOMAS</t>
  </si>
  <si>
    <t>LECTURAS</t>
  </si>
  <si>
    <t>SOLICITUDES DE PITAS</t>
  </si>
  <si>
    <t>PIPAS ENTREGADAS</t>
  </si>
  <si>
    <t>CERTIFICADOS DE NO ADEUDOS</t>
  </si>
  <si>
    <t>SOLICITUDES DE VERIFICACION</t>
  </si>
  <si>
    <t>INEXISTENCIA DE TOMAS</t>
  </si>
  <si>
    <t>VERIFICACION DE DRENAJE</t>
  </si>
  <si>
    <t>NUEVAS REDES DE AGUA POTABLE</t>
  </si>
  <si>
    <t>MANTENIMEINTO A SANITARIOS DE BAÑOS PUBLICOS</t>
  </si>
  <si>
    <t>MANTENIMIENTOS A BOMBAS DE AGUA</t>
  </si>
  <si>
    <t>REPARACION FUGAS DE DRENAJE</t>
  </si>
  <si>
    <t>LITROS EXTRAIDOS</t>
  </si>
  <si>
    <t>LITROS DE HIPOCLORITO DE SODIO AGREGADOS A LOS POZOS</t>
  </si>
  <si>
    <t>MANTENIMIENTOS REALIZADOS</t>
  </si>
  <si>
    <t>ACTIVIDADES EXTRAS</t>
  </si>
  <si>
    <t>ANALISIS FISICO</t>
  </si>
  <si>
    <t>PARQUES Y JARDINES</t>
  </si>
  <si>
    <t>PODAS</t>
  </si>
  <si>
    <t>PODAS EN CARRETERAS</t>
  </si>
  <si>
    <t>PODAS EN CAMELLONES</t>
  </si>
  <si>
    <t>PODAS EN UNIDADES DEPORTIVAS</t>
  </si>
  <si>
    <t>PODAS EN ESPACIOS PUBLICOS</t>
  </si>
  <si>
    <t>PODAS A ESCUELAS</t>
  </si>
  <si>
    <t>RASTRO</t>
  </si>
  <si>
    <t>SACRIFICIOS DE RESES</t>
  </si>
  <si>
    <t>SACRIFICIOS DE CERDOS</t>
  </si>
  <si>
    <t>ANIMALES RESGUARDADOS</t>
  </si>
  <si>
    <t>DECOMISOS</t>
  </si>
  <si>
    <t>INSPECCIONES</t>
  </si>
  <si>
    <t>OBRADOES</t>
  </si>
  <si>
    <t>POLLERIAS</t>
  </si>
  <si>
    <t>CARNICERIAS</t>
  </si>
  <si>
    <t>KILOS DECOMISADOS</t>
  </si>
  <si>
    <t>ALUMBRADO PUBLICO</t>
  </si>
  <si>
    <t>LUMINARIAS REPARADAS EN DELEGACIONES</t>
  </si>
  <si>
    <t>LUMINARIAS EN CABECERA</t>
  </si>
  <si>
    <t>INSTALACION LAMPARAS NUEVAS EN DELEGACIONES</t>
  </si>
  <si>
    <t>INSTALACION LAMPARAS NUEVAS EN CABECERA</t>
  </si>
  <si>
    <t>SOLICITUDES DE LAMPARAS NUEVAS</t>
  </si>
  <si>
    <t>LAMPARAS INVENTARIADAS</t>
  </si>
  <si>
    <t>MANTENIMIENTOS EXTRAS</t>
  </si>
  <si>
    <t>LUMINARIA QUE NO FUNCIONA</t>
  </si>
  <si>
    <t>ASEO PUBLICO</t>
  </si>
  <si>
    <t>VIGILANCIA EN EL VERTEDERO</t>
  </si>
  <si>
    <t>CALLES ASCEADAS</t>
  </si>
  <si>
    <t>TONELADAS RECOLECTADAS</t>
  </si>
  <si>
    <t>TALLER MECANICO</t>
  </si>
  <si>
    <t>REVISIONES</t>
  </si>
  <si>
    <t>CANALIZACIONES A OTROS TALLERES</t>
  </si>
  <si>
    <t>AFINACIONES</t>
  </si>
  <si>
    <t>CAMBIOS DE TAMBORES</t>
  </si>
  <si>
    <t>CAMBIOS DE BALATAS</t>
  </si>
  <si>
    <t>RECARGAS DE ACEITE</t>
  </si>
  <si>
    <t>MANTENIMIENTO GENERAL</t>
  </si>
  <si>
    <t>M2 INSTALADOS</t>
  </si>
  <si>
    <t>M2 BACHEADS</t>
  </si>
  <si>
    <t>M2 DE CARRETERA BACHEADOS</t>
  </si>
  <si>
    <t>ASFALTO APLICADO</t>
  </si>
  <si>
    <t>POSTES INSTALADOS</t>
  </si>
  <si>
    <t>FUMIGACIONES</t>
  </si>
  <si>
    <t>IMPERMIABILIZACIONES</t>
  </si>
  <si>
    <t>ESCUELAS IMPERMIABILIZADAS</t>
  </si>
  <si>
    <t>INTERVENCIONES</t>
  </si>
  <si>
    <t>M2 PINTURA APLICADA</t>
  </si>
  <si>
    <t>ACCIONES DE MANTENIMIENTO</t>
  </si>
  <si>
    <t>CONTROL ANIMAL</t>
  </si>
  <si>
    <t>SACRIFICIOS</t>
  </si>
  <si>
    <t>CAMPAÑAS</t>
  </si>
  <si>
    <t>ANIMALES ATENDIDOS</t>
  </si>
  <si>
    <t>ANIMALES RECOLECTADOS</t>
  </si>
  <si>
    <t>COMISARIA DE SEGURIDAD</t>
  </si>
  <si>
    <t>POLICIA</t>
  </si>
  <si>
    <t xml:space="preserve"> SANCIONES  A LAS PERSONAS EN ESTADO DE EBRIEDAD O BAJO EL INFLUJO DE ALGUN ESTUPEFACIENTE.</t>
  </si>
  <si>
    <t>SANCIONES POR CONSUMIR BEBIDAS ALCOHÓLICAS EN LUGARES PUBLICOS</t>
  </si>
  <si>
    <t>PERSONAS SANCIONADAS</t>
  </si>
  <si>
    <t>SANCIONES POR CONSUMIR SUSTANCIAS QUE PROVOQUEN DEPENDENCIA EN LUGARES PÚBLICOS</t>
  </si>
  <si>
    <t>SANCIONES POR CONDUCIR VEHICULOS EN ESTADO DE EBRIEDAD O BAJO EL INFLUJO DE SUSTANCIAS QUE PROVOQUEN DEPENDENCIA</t>
  </si>
  <si>
    <t>OTRAS INFRACCIONES RELACIONADAS AL CONSUMO    Y/O SUMINISTRO DE SUSTANCIAS QUE ALTERAN LA SALUD Y ESTADO FÍSICO</t>
  </si>
  <si>
    <t>SANCIONES POR CAUSAR AFECTACIÓN A BIENES DE PROPIEDAD PARTICULAR</t>
  </si>
  <si>
    <t>SANCIONES POR PROVOCAR DAÑO A BIENES DE PROPIEDAD MUNICIPAL O DELEGACIONAL</t>
  </si>
  <si>
    <t>SANCIONES POR OTRAS INFRACCIONES RELACIONADAS CON EL DAÑO A LAS COSAS (EN CONTRA DE LA PROPIEDAD PRIVADA O DE DOMINIO PÚBLICO).</t>
  </si>
  <si>
    <t>SANCIONES POR AGREDIR FISICA O VERBALMENTE A LOS ELEMENTOS OPERATIVOS</t>
  </si>
  <si>
    <t>SANCIONES RELACIONADAS A OTRAS INFRACCIONES RELACIONADAS AL CONSUMO    Y/O SUMINISTRO DE SUSTANCIAS QUE ALTERAN LA SALUD Y ESTADO FÍSICO</t>
  </si>
  <si>
    <t>SANCIONES REALIZADAS A  NECESIDADES FISIOLÓGICAS</t>
  </si>
  <si>
    <t>SANCIONES RELACIONADAS A LA CONTAMINACIÓN AUDITIVA</t>
  </si>
  <si>
    <t>OTRAS INFRACCIONES RELACIONADAS AL DESORDEN EN LA CONVIVENCIA SOCIAL</t>
  </si>
  <si>
    <t>SANCIONES POR ALTERAR EL ORDEN PUBLICO</t>
  </si>
  <si>
    <t>POSESIÓN SIMPLE</t>
  </si>
  <si>
    <t>POSESIÓN CON FINES DE COMERCIO O SUMINISTRO</t>
  </si>
  <si>
    <t>OTROS DELITOS CONTRA LA SALUD RELACIONADOS CON NARCOMENUDEO EN SU MODALIDAD DE NARCOMENUDEO</t>
  </si>
  <si>
    <t>DELITOS DEL FUERO COMÚN</t>
  </si>
  <si>
    <t>HOMICIDIO</t>
  </si>
  <si>
    <t>HOMICIDIOS</t>
  </si>
  <si>
    <t>SUICIDIO</t>
  </si>
  <si>
    <t>SUICIDIOS</t>
  </si>
  <si>
    <t>OTROS DELITOS RELACIONADOS CON LA VIDA Y LA INTEGRIDAD FISICA CORPORAL</t>
  </si>
  <si>
    <t>OTROS DELITOS</t>
  </si>
  <si>
    <t>DESAPARICIÓN FORZADA</t>
  </si>
  <si>
    <t>DESAPARICIONES FORZADAS</t>
  </si>
  <si>
    <t>PRIVACIÓN DE LA LIBERTAD</t>
  </si>
  <si>
    <t>PRIVACION DE LA LIBERTAD</t>
  </si>
  <si>
    <t>OTROS DELITOS RELACIONADOS CON LA LIBERTAD PERSONAL</t>
  </si>
  <si>
    <t>OTRO DELITOS</t>
  </si>
  <si>
    <t>ABUSO SEXUAL</t>
  </si>
  <si>
    <t>ABUSOS SEXUALES</t>
  </si>
  <si>
    <t>VIOLACIÓN</t>
  </si>
  <si>
    <t>VIOLACIONES</t>
  </si>
  <si>
    <t>OTROS DELITOS QUE ATENTEN CONTRA LA LIBERTAD Y SEGURIDAD SEXUAL</t>
  </si>
  <si>
    <t>ROBO SIMPLE</t>
  </si>
  <si>
    <t>ROBOS SIMPLES</t>
  </si>
  <si>
    <t>ROBO A CASA HABITACIÓN</t>
  </si>
  <si>
    <t>ROBOS A CASA HABITACION</t>
  </si>
  <si>
    <t>ROBO A MOTOCICLETA</t>
  </si>
  <si>
    <t>ROBO A MOTOCICLETAS</t>
  </si>
  <si>
    <t>ROBO A VEHICULOS</t>
  </si>
  <si>
    <t>ROBOS A VEHICULOS</t>
  </si>
  <si>
    <t>OTROS ROBOS</t>
  </si>
  <si>
    <t>REPORTES VIOLENCIA INTRAFAMILIAR</t>
  </si>
  <si>
    <t>REPORTES DE VIOLENCIA INTRAFAMILIAR</t>
  </si>
  <si>
    <t>OTROS DELITOS CONTRA LA FAMILIA</t>
  </si>
  <si>
    <t>POLICIA VIAL</t>
  </si>
  <si>
    <t>SANCIONES A MOTOCICLETAS</t>
  </si>
  <si>
    <t>SANCIONES A MOTOCICLISTAS</t>
  </si>
  <si>
    <t>SANCIONES A AUTOMÓVILES</t>
  </si>
  <si>
    <t>SANCIONES A AUTOMOLIVISTAS</t>
  </si>
  <si>
    <t xml:space="preserve">SANCIONES A VEHÍCULOS DE CARGA PESADA </t>
  </si>
  <si>
    <t>SANCIONES A VEHICULOS DE CARGA</t>
  </si>
  <si>
    <t>SANCIONES AL TRANSPORTE PUBLICO</t>
  </si>
  <si>
    <t>SANCIONES A TRANSPORTE PUBLICO</t>
  </si>
  <si>
    <t>GESTION INTEGRAL DE LA CIUDAD</t>
  </si>
  <si>
    <t>MODULO DE MAQUINARIA</t>
  </si>
  <si>
    <t>HORAS DE SERVICIO PRESTADAS</t>
  </si>
  <si>
    <t>HORAS DE SERVICIO</t>
  </si>
  <si>
    <t>NUMERO DE ACARREOS REALIZADOS</t>
  </si>
  <si>
    <t>ACARREOS REALIZADOS</t>
  </si>
  <si>
    <t>NUMERO DE MAQUINAS OPERATIVAS</t>
  </si>
  <si>
    <t>NUMERO DE MAQUINAS ACTIVAS</t>
  </si>
  <si>
    <t>PROYECTOS DE OBRA PUBLICA</t>
  </si>
  <si>
    <t>OBRAS EN PROCESO</t>
  </si>
  <si>
    <t>OBRAS FINALIZADAS</t>
  </si>
  <si>
    <t>PROYECTOS ELABORADOS</t>
  </si>
  <si>
    <t>PROYECTOS</t>
  </si>
  <si>
    <t>ECOLOGIA</t>
  </si>
  <si>
    <t>DICTAMENES</t>
  </si>
  <si>
    <t>ORDENES DE INSPECCION</t>
  </si>
  <si>
    <t>SANCIONES</t>
  </si>
  <si>
    <t>INSPECCIONES REALIZADAS</t>
  </si>
  <si>
    <t>ORDENAMIENTO TERRITORIAL</t>
  </si>
  <si>
    <t>DICTAMENES DE GIRO</t>
  </si>
  <si>
    <t>DICTAMENES DE GIRO GENERADOS</t>
  </si>
  <si>
    <t xml:space="preserve">DICTAMENES DE EDIFICACION </t>
  </si>
  <si>
    <t>DICTAMENES DE EDIFICACION GENERADOS</t>
  </si>
  <si>
    <t>LICENCIAS DE NUMERO OFICIAL</t>
  </si>
  <si>
    <t>LICENCIAS DE NUMERO OFCICIAL EXPEDIDAS</t>
  </si>
  <si>
    <t>LICENCIA DE ALINEAMIENTO</t>
  </si>
  <si>
    <t>LICENCIAS DE ALINEAMIENTOS OTORGADAS</t>
  </si>
  <si>
    <t>LICENCIA DE EDIFICACION</t>
  </si>
  <si>
    <t>LICENCIAS DE EDIFICACION OTORGADAS</t>
  </si>
  <si>
    <t>LICENCIA DE URBANIZACION</t>
  </si>
  <si>
    <t>LICENCIAS DE URBANIZACION OTORGADAS</t>
  </si>
  <si>
    <t>DICTAMEN BANCOS DE MATERIAL GEOLOGICO</t>
  </si>
  <si>
    <t>DICTAMENES DE BANCOS DE MATERIAL GEOLOGICO OTORGADOS</t>
  </si>
  <si>
    <t>MOVIMIENTOS DE TIERRA</t>
  </si>
  <si>
    <t>MOVIMIENTOS DE TIERRA APROBADOS</t>
  </si>
  <si>
    <t>GESTION INTEGRAL DE RIESGOS Y PROTECCION CIVIL</t>
  </si>
  <si>
    <t>PROTECCION CIVIL Y BOMBEROS</t>
  </si>
  <si>
    <t>INCENDIO POR UTILIZACIÓN DE GAS INFLAMABLE</t>
  </si>
  <si>
    <t>INCENDIO POR DESCUIDO (NEGLIGENCIA)</t>
  </si>
  <si>
    <t>INCENDIO PROVOCADO / INCENDIO INTENCIONAL</t>
  </si>
  <si>
    <t>DERRAME DE COMBUESTIBLE/ FUGA DE GAS</t>
  </si>
  <si>
    <t>RECALENTAMIENTO DE MATERIALES</t>
  </si>
  <si>
    <t>CHOQUE DE VEHICULOS</t>
  </si>
  <si>
    <t>INCENDIO ACCIDENTAL</t>
  </si>
  <si>
    <t xml:space="preserve">EXPLOSIONES </t>
  </si>
  <si>
    <t>FUEGO DIRECTO</t>
  </si>
  <si>
    <t>QUEMA DE BASURA</t>
  </si>
  <si>
    <t>PROPAGACION DE FUEGO</t>
  </si>
  <si>
    <t>FUEGO POR MALA INSTALACION ELECTRICA</t>
  </si>
  <si>
    <t>FALTA DE MANTENIMIENTO</t>
  </si>
  <si>
    <t>REIGNICION</t>
  </si>
  <si>
    <t>SOBRE CALENTAMIENTO DE MOTOR</t>
  </si>
  <si>
    <t>FALSA EXPLOSION</t>
  </si>
  <si>
    <t>CHOQUE DE VEHICULO</t>
  </si>
  <si>
    <t>VOLCAMIENTO VEHICULAR</t>
  </si>
  <si>
    <t>ACCIDENTES DE TRANSITO</t>
  </si>
  <si>
    <t>RESTO DE LAS CAUSAS</t>
  </si>
  <si>
    <t>POR ACCIDENTE DE TRANSITO</t>
  </si>
  <si>
    <t>VOLCADURA</t>
  </si>
  <si>
    <t>UTILIZACION DE EQUIPO DE SOLDADURA</t>
  </si>
  <si>
    <t>UTILIZACION INCORRECTA DE EQUIPO DE SOLDADURA</t>
  </si>
  <si>
    <t>FORESTAL ( QUEMA DE PASTIZALES)</t>
  </si>
  <si>
    <t>OCTUBRE 2025-SEPTIEMBRE 2026</t>
  </si>
  <si>
    <t xml:space="preserve">NOTAS (COBERTURA DE EVENTOS)
</t>
  </si>
  <si>
    <t>M2 INTERVENIDOS</t>
  </si>
  <si>
    <t>PIEZAS INSTALADAS</t>
  </si>
  <si>
    <t>TOPES INSTALADOS</t>
  </si>
  <si>
    <t>ESPACIOS INTERVENIDOS</t>
  </si>
  <si>
    <t>SESIONES</t>
  </si>
  <si>
    <t>ACUERDOS TOMADOS</t>
  </si>
  <si>
    <t>HERRAMIENTAS REALIZADAS</t>
  </si>
  <si>
    <t>HERRAMIENTAS ACTUALIZADAS</t>
  </si>
  <si>
    <t>ACTUALIZACIONES</t>
  </si>
  <si>
    <t>DICTAMENES REALIZADOS</t>
  </si>
  <si>
    <t>REPORTES REALIZADOS</t>
  </si>
  <si>
    <t>EVENTOS QUE PROMUEVAN EL DESARROLLO ECONOMICO O RURAL DEL MUNICIPIO</t>
  </si>
  <si>
    <t>EMPRESAS BENEFICIADAS CON LOS EVENTOS</t>
  </si>
  <si>
    <t>REUNIONES CON EMPRENDEDORES Y/O EMPRESARIOS PARA PROMOVER LA ECONOMIA</t>
  </si>
  <si>
    <t>PRODUCTORES DEL CAMPO ATENDIDOS</t>
  </si>
  <si>
    <t>SESIONES PUBLICAS</t>
  </si>
  <si>
    <t xml:space="preserve"> </t>
  </si>
  <si>
    <t>OCTUBRE 2026-SEPTIEMBRE 2027</t>
  </si>
  <si>
    <t>LICITACIONES</t>
  </si>
  <si>
    <t>REQUISICIONES</t>
  </si>
  <si>
    <t>VALES DE ALMACEN</t>
  </si>
  <si>
    <t>VEHICULOS DEL AYUNTAMIENTO</t>
  </si>
  <si>
    <t>INFRACCIONES</t>
  </si>
  <si>
    <t>POLIZAS</t>
  </si>
  <si>
    <t>BIENES PATRIMONIADOS</t>
  </si>
  <si>
    <t>VEHICULOS VERIFICADOS</t>
  </si>
  <si>
    <t>PLANTILLA DE PERSONAL</t>
  </si>
  <si>
    <t>VEHICULOS QUE CARGARON COMBUSTIBLE</t>
  </si>
  <si>
    <t>CARGAS POR VEHICULO</t>
  </si>
  <si>
    <t>LITROS</t>
  </si>
  <si>
    <t>TOTAL DE LITROS CARGADOS</t>
  </si>
  <si>
    <t>LITROS DESPACHADOS</t>
  </si>
  <si>
    <t xml:space="preserve">NOTAS </t>
  </si>
  <si>
    <t>POR DEFINIR</t>
  </si>
  <si>
    <t>TRASLADOS</t>
  </si>
  <si>
    <t>APOYOS</t>
  </si>
  <si>
    <t>EXAMENES MEDICOS</t>
  </si>
  <si>
    <t>CONSULTAS</t>
  </si>
  <si>
    <t>PLATICAS</t>
  </si>
  <si>
    <t>VISITAS</t>
  </si>
  <si>
    <t>EMERGENCIAS ATENDIDAS</t>
  </si>
  <si>
    <t>APLICACION DE MEDICAMENTOS</t>
  </si>
  <si>
    <t>VENDAJES APLICADOS</t>
  </si>
  <si>
    <t>YESO APLICADO</t>
  </si>
  <si>
    <t>TERAPIAS</t>
  </si>
  <si>
    <t>DEPENDENCIA</t>
  </si>
  <si>
    <t>PERIODO</t>
  </si>
  <si>
    <t>OCTUBRE 2024 - SEPTIEMBRE 2025</t>
  </si>
  <si>
    <t>OCTUBRE 2025 - SEPTIEMBRE 2026</t>
  </si>
  <si>
    <t>OCTUBRE 2026 - SEPTIEMBRE 2027</t>
  </si>
  <si>
    <t>ENERO</t>
  </si>
  <si>
    <t>CITA</t>
  </si>
  <si>
    <t>NÚM. DE PERSONAS</t>
  </si>
  <si>
    <t>NUM. PERSONAS</t>
  </si>
  <si>
    <t>NÚM. ACUERDOS</t>
  </si>
  <si>
    <t>MINUTA DE REUNION</t>
  </si>
  <si>
    <t>NÚM. DE SOLICITUDES</t>
  </si>
  <si>
    <t>PNT</t>
  </si>
  <si>
    <t>NÚM. DE CAPACITACIONES</t>
  </si>
  <si>
    <t>PROGRAMA ANUAL DE CAPACITACIONES</t>
  </si>
  <si>
    <t>NÚM. DE NOTAS PUBLICADAS</t>
  </si>
  <si>
    <t>NÚM. DE DISEÑOS REALIZADOS</t>
  </si>
  <si>
    <t>NÚM. DE PUBLICCIONES</t>
  </si>
  <si>
    <t>NÚM. DE PROGRAMAS IMPLEMENTADOS</t>
  </si>
  <si>
    <t>PADRON UNICO DE BENEFICIADOS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</si>
</sst>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d&quot; &quot;mmmm&quot;, &quot;yyyy"/>
  </numFmts>
  <fonts count="15">
    <font>
      <sz val="12"/>
      <color theme="1"/>
      <name val="Calibri"/>
      <scheme val="minor"/>
    </font>
    <font>
      <b/>
      <sz val="18"/>
      <color theme="1"/>
      <name val="Arial"/>
    </font>
    <font>
      <sz val="12"/>
      <name val="Calibri"/>
    </font>
    <font>
      <sz val="12"/>
      <color theme="1"/>
      <name val="Arial"/>
    </font>
    <font>
      <sz val="12"/>
      <color theme="1"/>
      <name val="Comfortaa"/>
    </font>
    <font>
      <b/>
      <sz val="12"/>
      <color theme="1"/>
      <name val="Comfortaa"/>
    </font>
    <font>
      <b/>
      <sz val="9"/>
      <color theme="1"/>
      <name val="Comfortaa"/>
    </font>
    <font>
      <b/>
      <sz val="12"/>
      <color theme="1"/>
      <name val="Arial"/>
    </font>
    <font>
      <b/>
      <sz val="14"/>
      <color theme="1"/>
      <name val="Arial"/>
    </font>
    <font>
      <sz val="12"/>
      <color theme="1"/>
      <name val="Calibri"/>
    </font>
    <font>
      <b/>
      <sz val="14"/>
      <color theme="1"/>
      <name val="Calibri"/>
    </font>
    <font>
      <b/>
      <sz val="12"/>
      <color theme="1"/>
      <name val="Calibri"/>
    </font>
    <font>
      <sz val="11"/>
      <color theme="1"/>
      <name val="Calibri"/>
    </font>
    <font>
      <sz val="12"/>
      <color theme="1"/>
      <name val="Calibri"/>
      <scheme val="minor"/>
    </font>
    <font>
      <sz val="12"/>
      <color theme="1"/>
      <name val="Calibri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7"/>
        <bgColor theme="7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</borders>
  <cellStyleXfs count="1">
    <xf numFmtId="0" fontId="0" fillId="0" borderId="0"/>
  </cellStyleXfs>
  <cellXfs count="66">
    <xf numFmtId="0" fontId="0" fillId="0" borderId="0" xfId="0" applyFont="1" applyAlignment="1"/>
    <xf numFmtId="0" fontId="4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164" fontId="5" fillId="3" borderId="4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3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3" fontId="3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164" fontId="9" fillId="2" borderId="4" xfId="0" applyNumberFormat="1" applyFont="1" applyFill="1" applyBorder="1" applyAlignment="1">
      <alignment horizontal="center" vertical="center" wrapText="1"/>
    </xf>
    <xf numFmtId="3" fontId="9" fillId="2" borderId="4" xfId="0" applyNumberFormat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3" fontId="10" fillId="2" borderId="4" xfId="0" applyNumberFormat="1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/>
    </xf>
    <xf numFmtId="4" fontId="3" fillId="2" borderId="4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/>
    </xf>
    <xf numFmtId="4" fontId="3" fillId="2" borderId="4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3" fillId="0" borderId="0" xfId="0" applyFont="1" applyAlignment="1"/>
    <xf numFmtId="0" fontId="3" fillId="6" borderId="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/>
    </xf>
    <xf numFmtId="4" fontId="3" fillId="2" borderId="4" xfId="0" applyNumberFormat="1" applyFont="1" applyFill="1" applyBorder="1" applyAlignment="1">
      <alignment horizontal="center"/>
    </xf>
    <xf numFmtId="165" fontId="13" fillId="0" borderId="0" xfId="0" applyNumberFormat="1" applyFont="1" applyAlignment="1">
      <alignment horizontal="center" vertical="center" wrapText="1"/>
    </xf>
    <xf numFmtId="0" fontId="13" fillId="0" borderId="0" xfId="0" applyFont="1"/>
    <xf numFmtId="4" fontId="13" fillId="0" borderId="0" xfId="0" applyNumberFormat="1" applyFont="1"/>
    <xf numFmtId="3" fontId="13" fillId="0" borderId="0" xfId="0" applyNumberFormat="1" applyFont="1"/>
    <xf numFmtId="0" fontId="14" fillId="0" borderId="0" xfId="0" applyFont="1"/>
    <xf numFmtId="0" fontId="11" fillId="4" borderId="5" xfId="0" applyFont="1" applyFill="1" applyBorder="1" applyAlignment="1">
      <alignment horizontal="center" vertical="center" wrapText="1"/>
    </xf>
    <xf numFmtId="0" fontId="2" fillId="0" borderId="7" xfId="0" applyFont="1" applyBorder="1"/>
    <xf numFmtId="0" fontId="7" fillId="5" borderId="5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9" fillId="4" borderId="5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3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4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E06666"/>
          <bgColor rgb="FFE06666"/>
        </patternFill>
      </fill>
    </dxf>
    <dxf>
      <font>
        <b/>
      </font>
      <fill>
        <patternFill patternType="solid">
          <fgColor rgb="FFF1C232"/>
          <bgColor rgb="FFF1C232"/>
        </patternFill>
      </fill>
    </dxf>
    <dxf>
      <font>
        <b/>
        <color rgb="FFFFFFFF"/>
      </font>
      <fill>
        <patternFill patternType="solid">
          <fgColor rgb="FF38761D"/>
          <bgColor rgb="FF38761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E06666"/>
          <bgColor rgb="FFE06666"/>
        </patternFill>
      </fill>
    </dxf>
    <dxf>
      <font>
        <b/>
      </font>
      <fill>
        <patternFill patternType="solid">
          <fgColor rgb="FFF1C232"/>
          <bgColor rgb="FFF1C232"/>
        </patternFill>
      </fill>
    </dxf>
    <dxf>
      <font>
        <b/>
        <color rgb="FFFFFFFF"/>
      </font>
      <fill>
        <patternFill patternType="solid">
          <fgColor rgb="FF38761D"/>
          <bgColor rgb="FF38761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customschemas.google.com/relationships/workbookmetadata" Target="metadata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'PRESIDENCIA 24-25'!$B$2</c:f>
              <c:strCache>
                <c:ptCount val="1"/>
                <c:pt idx="0">
                  <c:v>INDICADORES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24-25'!$B$3:$B$13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A3F-7D46-AB27-3FB2ECDBF532}"/>
            </c:ext>
          </c:extLst>
        </c:ser>
        <c:ser>
          <c:idx val="1"/>
          <c:order val="1"/>
          <c:tx>
            <c:strRef>
              <c:f>'PRESIDENCIA 24-25'!$H$2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24-25'!$H$3:$H$13</c:f>
              <c:numCache>
                <c:formatCode>General</c:formatCode>
                <c:ptCount val="11"/>
                <c:pt idx="0">
                  <c:v>20</c:v>
                </c:pt>
                <c:pt idx="1">
                  <c:v>45</c:v>
                </c:pt>
                <c:pt idx="2">
                  <c:v>20</c:v>
                </c:pt>
                <c:pt idx="3">
                  <c:v>15</c:v>
                </c:pt>
                <c:pt idx="4">
                  <c:v>41</c:v>
                </c:pt>
                <c:pt idx="5">
                  <c:v>1</c:v>
                </c:pt>
                <c:pt idx="6">
                  <c:v>35</c:v>
                </c:pt>
                <c:pt idx="7">
                  <c:v>50</c:v>
                </c:pt>
                <c:pt idx="8">
                  <c:v>114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A3F-7D46-AB27-3FB2ECDBF532}"/>
            </c:ext>
          </c:extLst>
        </c:ser>
        <c:ser>
          <c:idx val="2"/>
          <c:order val="2"/>
          <c:tx>
            <c:strRef>
              <c:f>'PRESIDENCIA 24-25'!$I$2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24-25'!$I$3:$I$13</c:f>
              <c:numCache>
                <c:formatCode>General</c:formatCode>
                <c:ptCount val="11"/>
                <c:pt idx="0">
                  <c:v>33</c:v>
                </c:pt>
                <c:pt idx="1">
                  <c:v>80</c:v>
                </c:pt>
                <c:pt idx="2">
                  <c:v>22</c:v>
                </c:pt>
                <c:pt idx="3">
                  <c:v>8</c:v>
                </c:pt>
                <c:pt idx="4">
                  <c:v>60</c:v>
                </c:pt>
                <c:pt idx="5">
                  <c:v>1</c:v>
                </c:pt>
                <c:pt idx="6">
                  <c:v>42</c:v>
                </c:pt>
                <c:pt idx="7">
                  <c:v>72</c:v>
                </c:pt>
                <c:pt idx="8">
                  <c:v>150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CA3F-7D46-AB27-3FB2ECDBF532}"/>
            </c:ext>
          </c:extLst>
        </c:ser>
        <c:ser>
          <c:idx val="3"/>
          <c:order val="3"/>
          <c:tx>
            <c:strRef>
              <c:f>'PRESIDENCIA 24-25'!$J$2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24-25'!$J$3:$J$13</c:f>
              <c:numCache>
                <c:formatCode>General</c:formatCode>
                <c:ptCount val="11"/>
                <c:pt idx="0">
                  <c:v>27</c:v>
                </c:pt>
                <c:pt idx="1">
                  <c:v>60</c:v>
                </c:pt>
                <c:pt idx="2">
                  <c:v>15</c:v>
                </c:pt>
                <c:pt idx="3">
                  <c:v>5</c:v>
                </c:pt>
                <c:pt idx="4">
                  <c:v>39</c:v>
                </c:pt>
                <c:pt idx="5">
                  <c:v>1</c:v>
                </c:pt>
                <c:pt idx="6">
                  <c:v>39</c:v>
                </c:pt>
                <c:pt idx="7">
                  <c:v>69</c:v>
                </c:pt>
                <c:pt idx="8">
                  <c:v>163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CA3F-7D46-AB27-3FB2ECDBF532}"/>
            </c:ext>
          </c:extLst>
        </c:ser>
        <c:ser>
          <c:idx val="4"/>
          <c:order val="4"/>
          <c:tx>
            <c:strRef>
              <c:f>'PRESIDENCIA 24-25'!$K$2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24-25'!$K$3:$K$13</c:f>
              <c:numCache>
                <c:formatCode>General</c:formatCode>
                <c:ptCount val="11"/>
                <c:pt idx="0">
                  <c:v>30</c:v>
                </c:pt>
                <c:pt idx="1">
                  <c:v>50</c:v>
                </c:pt>
                <c:pt idx="2">
                  <c:v>25</c:v>
                </c:pt>
                <c:pt idx="3">
                  <c:v>8</c:v>
                </c:pt>
                <c:pt idx="4">
                  <c:v>52</c:v>
                </c:pt>
                <c:pt idx="5">
                  <c:v>1</c:v>
                </c:pt>
                <c:pt idx="6">
                  <c:v>39</c:v>
                </c:pt>
                <c:pt idx="7">
                  <c:v>172</c:v>
                </c:pt>
                <c:pt idx="8">
                  <c:v>1</c:v>
                </c:pt>
                <c:pt idx="9">
                  <c:v>2</c:v>
                </c:pt>
                <c:pt idx="10">
                  <c:v>255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CA3F-7D46-AB27-3FB2ECDBF532}"/>
            </c:ext>
          </c:extLst>
        </c:ser>
        <c:ser>
          <c:idx val="5"/>
          <c:order val="5"/>
          <c:tx>
            <c:strRef>
              <c:f>'PRESIDENCIA 24-25'!$L$2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24-25'!$L$3:$L$13</c:f>
              <c:numCache>
                <c:formatCode>General</c:formatCode>
                <c:ptCount val="11"/>
                <c:pt idx="0">
                  <c:v>22</c:v>
                </c:pt>
                <c:pt idx="1">
                  <c:v>52</c:v>
                </c:pt>
                <c:pt idx="2">
                  <c:v>31</c:v>
                </c:pt>
                <c:pt idx="3">
                  <c:v>4</c:v>
                </c:pt>
                <c:pt idx="4">
                  <c:v>56</c:v>
                </c:pt>
                <c:pt idx="5">
                  <c:v>1</c:v>
                </c:pt>
                <c:pt idx="6">
                  <c:v>48</c:v>
                </c:pt>
                <c:pt idx="7">
                  <c:v>140</c:v>
                </c:pt>
                <c:pt idx="8">
                  <c:v>2</c:v>
                </c:pt>
                <c:pt idx="9">
                  <c:v>3</c:v>
                </c:pt>
                <c:pt idx="10">
                  <c:v>272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CA3F-7D46-AB27-3FB2ECDBF532}"/>
            </c:ext>
          </c:extLst>
        </c:ser>
        <c:ser>
          <c:idx val="6"/>
          <c:order val="6"/>
          <c:tx>
            <c:strRef>
              <c:f>'PRESIDENCIA 24-25'!$M$2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B8CAE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24-25'!$M$3:$M$13</c:f>
              <c:numCache>
                <c:formatCode>General</c:formatCode>
                <c:ptCount val="11"/>
                <c:pt idx="0">
                  <c:v>23</c:v>
                </c:pt>
                <c:pt idx="1">
                  <c:v>42</c:v>
                </c:pt>
                <c:pt idx="2">
                  <c:v>25</c:v>
                </c:pt>
                <c:pt idx="3">
                  <c:v>6</c:v>
                </c:pt>
                <c:pt idx="4">
                  <c:v>63</c:v>
                </c:pt>
                <c:pt idx="5">
                  <c:v>1</c:v>
                </c:pt>
                <c:pt idx="6">
                  <c:v>38</c:v>
                </c:pt>
                <c:pt idx="7">
                  <c:v>142</c:v>
                </c:pt>
                <c:pt idx="8">
                  <c:v>2</c:v>
                </c:pt>
                <c:pt idx="9">
                  <c:v>2</c:v>
                </c:pt>
                <c:pt idx="10">
                  <c:v>350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CA3F-7D46-AB27-3FB2ECDBF532}"/>
            </c:ext>
          </c:extLst>
        </c:ser>
        <c:ser>
          <c:idx val="7"/>
          <c:order val="7"/>
          <c:tx>
            <c:strRef>
              <c:f>'PRESIDENCIA 24-25'!$N$2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F9D6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24-25'!$N$3:$N$13</c:f>
              <c:numCache>
                <c:formatCode>General</c:formatCode>
                <c:ptCount val="11"/>
                <c:pt idx="0">
                  <c:v>17</c:v>
                </c:pt>
                <c:pt idx="1">
                  <c:v>58</c:v>
                </c:pt>
                <c:pt idx="2">
                  <c:v>34</c:v>
                </c:pt>
                <c:pt idx="3">
                  <c:v>12</c:v>
                </c:pt>
                <c:pt idx="4">
                  <c:v>30</c:v>
                </c:pt>
                <c:pt idx="5">
                  <c:v>1</c:v>
                </c:pt>
                <c:pt idx="6">
                  <c:v>37</c:v>
                </c:pt>
                <c:pt idx="7">
                  <c:v>76</c:v>
                </c:pt>
                <c:pt idx="8">
                  <c:v>155</c:v>
                </c:pt>
                <c:pt idx="9">
                  <c:v>3</c:v>
                </c:pt>
                <c:pt idx="10">
                  <c:v>253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CA3F-7D46-AB27-3FB2ECDBF532}"/>
            </c:ext>
          </c:extLst>
        </c:ser>
        <c:ser>
          <c:idx val="8"/>
          <c:order val="8"/>
          <c:tx>
            <c:strRef>
              <c:f>'PRESIDENCIA 24-25'!$O$2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F1F1F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24-25'!$O$3:$O$13</c:f>
              <c:numCache>
                <c:formatCode>General</c:formatCode>
                <c:ptCount val="11"/>
                <c:pt idx="0">
                  <c:v>54</c:v>
                </c:pt>
                <c:pt idx="1">
                  <c:v>201</c:v>
                </c:pt>
                <c:pt idx="2">
                  <c:v>35</c:v>
                </c:pt>
                <c:pt idx="3">
                  <c:v>11</c:v>
                </c:pt>
                <c:pt idx="4">
                  <c:v>42</c:v>
                </c:pt>
                <c:pt idx="5">
                  <c:v>2</c:v>
                </c:pt>
                <c:pt idx="6">
                  <c:v>45</c:v>
                </c:pt>
                <c:pt idx="7">
                  <c:v>58</c:v>
                </c:pt>
                <c:pt idx="8">
                  <c:v>207</c:v>
                </c:pt>
                <c:pt idx="9">
                  <c:v>5</c:v>
                </c:pt>
                <c:pt idx="10">
                  <c:v>326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CA3F-7D46-AB27-3FB2ECDBF532}"/>
            </c:ext>
          </c:extLst>
        </c:ser>
        <c:ser>
          <c:idx val="9"/>
          <c:order val="9"/>
          <c:tx>
            <c:strRef>
              <c:f>'PRESIDENCIA 24-25'!$P$2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FFE69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24-25'!$P$3:$P$13</c:f>
              <c:numCache>
                <c:formatCode>General</c:formatCode>
                <c:ptCount val="11"/>
                <c:pt idx="0">
                  <c:v>19</c:v>
                </c:pt>
                <c:pt idx="1">
                  <c:v>38</c:v>
                </c:pt>
                <c:pt idx="2">
                  <c:v>20</c:v>
                </c:pt>
                <c:pt idx="3">
                  <c:v>6</c:v>
                </c:pt>
                <c:pt idx="4">
                  <c:v>33</c:v>
                </c:pt>
                <c:pt idx="5">
                  <c:v>1</c:v>
                </c:pt>
                <c:pt idx="6">
                  <c:v>53</c:v>
                </c:pt>
                <c:pt idx="7">
                  <c:v>73</c:v>
                </c:pt>
                <c:pt idx="8">
                  <c:v>189</c:v>
                </c:pt>
                <c:pt idx="9">
                  <c:v>3</c:v>
                </c:pt>
                <c:pt idx="10">
                  <c:v>250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CA3F-7D46-AB27-3FB2ECDBF532}"/>
            </c:ext>
          </c:extLst>
        </c:ser>
        <c:ser>
          <c:idx val="10"/>
          <c:order val="10"/>
          <c:tx>
            <c:strRef>
              <c:f>'PRESIDENCIA 24-25'!$Q$2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D5E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24-25'!$Q$3:$Q$13</c:f>
              <c:numCache>
                <c:formatCode>General</c:formatCode>
                <c:ptCount val="11"/>
                <c:pt idx="0">
                  <c:v>33</c:v>
                </c:pt>
                <c:pt idx="1">
                  <c:v>112</c:v>
                </c:pt>
                <c:pt idx="2">
                  <c:v>92</c:v>
                </c:pt>
                <c:pt idx="3">
                  <c:v>1</c:v>
                </c:pt>
                <c:pt idx="4">
                  <c:v>63</c:v>
                </c:pt>
                <c:pt idx="5">
                  <c:v>4</c:v>
                </c:pt>
                <c:pt idx="6">
                  <c:v>84</c:v>
                </c:pt>
                <c:pt idx="7">
                  <c:v>99</c:v>
                </c:pt>
                <c:pt idx="8">
                  <c:v>281</c:v>
                </c:pt>
                <c:pt idx="9">
                  <c:v>3</c:v>
                </c:pt>
                <c:pt idx="10">
                  <c:v>251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CA3F-7D46-AB27-3FB2ECDBF532}"/>
            </c:ext>
          </c:extLst>
        </c:ser>
        <c:ser>
          <c:idx val="11"/>
          <c:order val="11"/>
          <c:tx>
            <c:strRef>
              <c:f>'PRESIDENCIA 24-25'!$R$2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C2DEA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24-25'!$R$3:$R$13</c:f>
              <c:numCache>
                <c:formatCode>General</c:formatCode>
                <c:ptCount val="11"/>
                <c:pt idx="0">
                  <c:v>31</c:v>
                </c:pt>
                <c:pt idx="1">
                  <c:v>100</c:v>
                </c:pt>
                <c:pt idx="2">
                  <c:v>84</c:v>
                </c:pt>
                <c:pt idx="3">
                  <c:v>1</c:v>
                </c:pt>
                <c:pt idx="4">
                  <c:v>78</c:v>
                </c:pt>
                <c:pt idx="5">
                  <c:v>4</c:v>
                </c:pt>
                <c:pt idx="6">
                  <c:v>55</c:v>
                </c:pt>
                <c:pt idx="7">
                  <c:v>71</c:v>
                </c:pt>
                <c:pt idx="8">
                  <c:v>271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CA3F-7D46-AB27-3FB2ECDBF532}"/>
            </c:ext>
          </c:extLst>
        </c:ser>
        <c:ser>
          <c:idx val="12"/>
          <c:order val="12"/>
          <c:tx>
            <c:strRef>
              <c:f>'PRESIDENCIA 24-25'!$S$2</c:f>
              <c:strCache>
                <c:ptCount val="1"/>
                <c:pt idx="0">
                  <c:v>SEPTIEMBRE</c:v>
                </c:pt>
              </c:strCache>
            </c:strRef>
          </c:tx>
          <c:invertIfNegative val="1"/>
          <c:cat>
            <c:strRef>
              <c:f>'PRESIDENCIA 24-25'!$A$3:$A$13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24-25'!$S$3:$S$13</c:f>
              <c:numCache>
                <c:formatCode>General</c:formatCode>
                <c:ptCount val="11"/>
                <c:pt idx="0">
                  <c:v>28</c:v>
                </c:pt>
                <c:pt idx="1">
                  <c:v>82</c:v>
                </c:pt>
                <c:pt idx="2">
                  <c:v>88</c:v>
                </c:pt>
                <c:pt idx="3">
                  <c:v>1</c:v>
                </c:pt>
                <c:pt idx="4">
                  <c:v>25</c:v>
                </c:pt>
                <c:pt idx="5">
                  <c:v>5</c:v>
                </c:pt>
                <c:pt idx="6">
                  <c:v>88</c:v>
                </c:pt>
                <c:pt idx="7">
                  <c:v>119</c:v>
                </c:pt>
                <c:pt idx="8">
                  <c:v>436</c:v>
                </c:pt>
                <c:pt idx="9">
                  <c:v>7</c:v>
                </c:pt>
                <c:pt idx="10">
                  <c:v>1140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3F-7D46-AB27-3FB2ECDBF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0713062"/>
        <c:axId val="64622882"/>
      </c:barChart>
      <c:catAx>
        <c:axId val="4307130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4622882"/>
        <c:crosses val="autoZero"/>
        <c:auto val="1"/>
        <c:lblAlgn val="ctr"/>
        <c:lblOffset val="100"/>
        <c:noMultiLvlLbl val="1"/>
      </c:catAx>
      <c:valAx>
        <c:axId val="646228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43071306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MX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'PRESIDENCIA 25-26'!$B$2</c:f>
              <c:strCache>
                <c:ptCount val="1"/>
                <c:pt idx="0">
                  <c:v>INDICADORES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25-26'!$B$3:$B$13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40B-AF46-86A6-243499C80EA0}"/>
            </c:ext>
          </c:extLst>
        </c:ser>
        <c:ser>
          <c:idx val="1"/>
          <c:order val="1"/>
          <c:tx>
            <c:strRef>
              <c:f>'PRESIDENCIA 25-26'!$H$2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25-26'!$H$3:$H$13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193</c:v>
                </c:pt>
                <c:pt idx="10">
                  <c:v>442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40B-AF46-86A6-243499C80EA0}"/>
            </c:ext>
          </c:extLst>
        </c:ser>
        <c:ser>
          <c:idx val="2"/>
          <c:order val="2"/>
          <c:tx>
            <c:strRef>
              <c:f>'PRESIDENCIA 25-26'!$I$2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25-26'!$I$3:$I$13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148</c:v>
                </c:pt>
                <c:pt idx="10">
                  <c:v>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640B-AF46-86A6-243499C80EA0}"/>
            </c:ext>
          </c:extLst>
        </c:ser>
        <c:ser>
          <c:idx val="3"/>
          <c:order val="3"/>
          <c:tx>
            <c:strRef>
              <c:f>'PRESIDENCIA 25-26'!$J$2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25-26'!$J$3:$J$13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640B-AF46-86A6-243499C80EA0}"/>
            </c:ext>
          </c:extLst>
        </c:ser>
        <c:ser>
          <c:idx val="4"/>
          <c:order val="4"/>
          <c:tx>
            <c:strRef>
              <c:f>'PRESIDENCIA 25-26'!$K$2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25-26'!$K$3:$K$13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640B-AF46-86A6-243499C80EA0}"/>
            </c:ext>
          </c:extLst>
        </c:ser>
        <c:ser>
          <c:idx val="5"/>
          <c:order val="5"/>
          <c:tx>
            <c:strRef>
              <c:f>'PRESIDENCIA 25-26'!$L$2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25-26'!$L$3:$L$13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640B-AF46-86A6-243499C80EA0}"/>
            </c:ext>
          </c:extLst>
        </c:ser>
        <c:ser>
          <c:idx val="6"/>
          <c:order val="6"/>
          <c:tx>
            <c:strRef>
              <c:f>'PRESIDENCIA 25-26'!$M$2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B8CAE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25-26'!$M$3:$M$13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640B-AF46-86A6-243499C80EA0}"/>
            </c:ext>
          </c:extLst>
        </c:ser>
        <c:ser>
          <c:idx val="7"/>
          <c:order val="7"/>
          <c:tx>
            <c:strRef>
              <c:f>'PRESIDENCIA 25-26'!$N$2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F9D6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25-26'!$N$3:$N$13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640B-AF46-86A6-243499C80EA0}"/>
            </c:ext>
          </c:extLst>
        </c:ser>
        <c:ser>
          <c:idx val="8"/>
          <c:order val="8"/>
          <c:tx>
            <c:strRef>
              <c:f>'PRESIDENCIA 25-26'!$O$2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F1F1F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25-26'!$O$3:$O$13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640B-AF46-86A6-243499C80EA0}"/>
            </c:ext>
          </c:extLst>
        </c:ser>
        <c:ser>
          <c:idx val="9"/>
          <c:order val="9"/>
          <c:tx>
            <c:strRef>
              <c:f>'PRESIDENCIA 25-26'!$P$2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FFE69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25-26'!$P$3:$P$13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640B-AF46-86A6-243499C80EA0}"/>
            </c:ext>
          </c:extLst>
        </c:ser>
        <c:ser>
          <c:idx val="10"/>
          <c:order val="10"/>
          <c:tx>
            <c:strRef>
              <c:f>'PRESIDENCIA 25-26'!$Q$2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D5E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25-26'!$Q$3:$Q$13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640B-AF46-86A6-243499C80EA0}"/>
            </c:ext>
          </c:extLst>
        </c:ser>
        <c:ser>
          <c:idx val="11"/>
          <c:order val="11"/>
          <c:tx>
            <c:strRef>
              <c:f>'PRESIDENCIA 25-26'!$R$2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C2DEA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25-26'!$R$3:$R$13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640B-AF46-86A6-243499C80EA0}"/>
            </c:ext>
          </c:extLst>
        </c:ser>
        <c:ser>
          <c:idx val="12"/>
          <c:order val="12"/>
          <c:tx>
            <c:strRef>
              <c:f>'PRESIDENCIA 25-26'!$S$2</c:f>
              <c:strCache>
                <c:ptCount val="1"/>
                <c:pt idx="0">
                  <c:v>SEPTIEMBRE</c:v>
                </c:pt>
              </c:strCache>
            </c:strRef>
          </c:tx>
          <c:invertIfNegative val="1"/>
          <c:cat>
            <c:strRef>
              <c:f>'PRESIDENCIA 25-26'!$A$3:$A$13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25-26'!$S$3:$S$13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0B-AF46-86A6-243499C80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449116"/>
        <c:axId val="652746277"/>
      </c:barChart>
      <c:catAx>
        <c:axId val="8884491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52746277"/>
        <c:crosses val="autoZero"/>
        <c:auto val="1"/>
        <c:lblAlgn val="ctr"/>
        <c:lblOffset val="100"/>
        <c:noMultiLvlLbl val="1"/>
      </c:catAx>
      <c:valAx>
        <c:axId val="65274627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8844911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MX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'PRESIDENCIA 26-27'!$B$2</c:f>
              <c:strCache>
                <c:ptCount val="1"/>
                <c:pt idx="0">
                  <c:v>INDICADORES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26-27'!$B$3:$B$13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464-1C4C-A62D-38DB817F8EF3}"/>
            </c:ext>
          </c:extLst>
        </c:ser>
        <c:ser>
          <c:idx val="1"/>
          <c:order val="1"/>
          <c:tx>
            <c:strRef>
              <c:f>'PRESIDENCIA 26-27'!$H$2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26-27'!$H$3:$H$13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1464-1C4C-A62D-38DB817F8EF3}"/>
            </c:ext>
          </c:extLst>
        </c:ser>
        <c:ser>
          <c:idx val="2"/>
          <c:order val="2"/>
          <c:tx>
            <c:strRef>
              <c:f>'PRESIDENCIA 26-27'!$I$2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26-27'!$I$3:$I$13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1464-1C4C-A62D-38DB817F8EF3}"/>
            </c:ext>
          </c:extLst>
        </c:ser>
        <c:ser>
          <c:idx val="3"/>
          <c:order val="3"/>
          <c:tx>
            <c:strRef>
              <c:f>'PRESIDENCIA 26-27'!$J$2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26-27'!$J$3:$J$13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1464-1C4C-A62D-38DB817F8EF3}"/>
            </c:ext>
          </c:extLst>
        </c:ser>
        <c:ser>
          <c:idx val="4"/>
          <c:order val="4"/>
          <c:tx>
            <c:strRef>
              <c:f>'PRESIDENCIA 26-27'!$K$2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26-27'!$K$3:$K$13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1464-1C4C-A62D-38DB817F8EF3}"/>
            </c:ext>
          </c:extLst>
        </c:ser>
        <c:ser>
          <c:idx val="5"/>
          <c:order val="5"/>
          <c:tx>
            <c:strRef>
              <c:f>'PRESIDENCIA 26-27'!$L$2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70AD4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26-27'!$L$3:$L$13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1464-1C4C-A62D-38DB817F8EF3}"/>
            </c:ext>
          </c:extLst>
        </c:ser>
        <c:ser>
          <c:idx val="6"/>
          <c:order val="6"/>
          <c:tx>
            <c:strRef>
              <c:f>'PRESIDENCIA 26-27'!$M$2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B8CAE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26-27'!$M$3:$M$13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1464-1C4C-A62D-38DB817F8EF3}"/>
            </c:ext>
          </c:extLst>
        </c:ser>
        <c:ser>
          <c:idx val="7"/>
          <c:order val="7"/>
          <c:tx>
            <c:strRef>
              <c:f>'PRESIDENCIA 26-27'!$N$2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F9D6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26-27'!$N$3:$N$13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1464-1C4C-A62D-38DB817F8EF3}"/>
            </c:ext>
          </c:extLst>
        </c:ser>
        <c:ser>
          <c:idx val="8"/>
          <c:order val="8"/>
          <c:tx>
            <c:strRef>
              <c:f>'PRESIDENCIA 26-27'!$O$2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F1F1F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26-27'!$O$3:$O$13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1464-1C4C-A62D-38DB817F8EF3}"/>
            </c:ext>
          </c:extLst>
        </c:ser>
        <c:ser>
          <c:idx val="9"/>
          <c:order val="9"/>
          <c:tx>
            <c:strRef>
              <c:f>'PRESIDENCIA 26-27'!$P$2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FFE69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26-27'!$P$3:$P$13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1464-1C4C-A62D-38DB817F8EF3}"/>
            </c:ext>
          </c:extLst>
        </c:ser>
        <c:ser>
          <c:idx val="10"/>
          <c:order val="10"/>
          <c:tx>
            <c:strRef>
              <c:f>'PRESIDENCIA 26-27'!$Q$2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D5E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26-27'!$Q$3:$Q$13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1464-1C4C-A62D-38DB817F8EF3}"/>
            </c:ext>
          </c:extLst>
        </c:ser>
        <c:ser>
          <c:idx val="11"/>
          <c:order val="11"/>
          <c:tx>
            <c:strRef>
              <c:f>'PRESIDENCIA 26-27'!$R$2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C2DEA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26-27'!$R$3:$R$13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1464-1C4C-A62D-38DB817F8EF3}"/>
            </c:ext>
          </c:extLst>
        </c:ser>
        <c:ser>
          <c:idx val="12"/>
          <c:order val="12"/>
          <c:tx>
            <c:strRef>
              <c:f>'PRESIDENCIA 26-27'!$S$2</c:f>
              <c:strCache>
                <c:ptCount val="1"/>
                <c:pt idx="0">
                  <c:v>SEPTIEMBRE</c:v>
                </c:pt>
              </c:strCache>
            </c:strRef>
          </c:tx>
          <c:invertIfNegative val="1"/>
          <c:cat>
            <c:strRef>
              <c:f>'PRESIDENCIA 26-27'!$A$3:$A$13</c:f>
              <c:strCache>
                <c:ptCount val="10"/>
                <c:pt idx="0">
                  <c:v>PRESIDENCIA</c:v>
                </c:pt>
                <c:pt idx="2">
                  <c:v>ASUNTOS DEL INTERIOR</c:v>
                </c:pt>
                <c:pt idx="4">
                  <c:v>TRANSPARENCIA</c:v>
                </c:pt>
                <c:pt idx="6">
                  <c:v>COMUNICACIÓN SOCIAL</c:v>
                </c:pt>
                <c:pt idx="9">
                  <c:v>GESTION DE PROYECTOS</c:v>
                </c:pt>
              </c:strCache>
            </c:strRef>
          </c:cat>
          <c:val>
            <c:numRef>
              <c:f>'PRESIDENCIA 26-27'!$S$3:$S$13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64-1C4C-A62D-38DB817F8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064699"/>
        <c:axId val="1685514426"/>
      </c:barChart>
      <c:catAx>
        <c:axId val="17190646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85514426"/>
        <c:crosses val="autoZero"/>
        <c:auto val="1"/>
        <c:lblAlgn val="ctr"/>
        <c:lblOffset val="100"/>
        <c:noMultiLvlLbl val="1"/>
      </c:catAx>
      <c:valAx>
        <c:axId val="16855144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906469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MX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9525</xdr:rowOff>
    </xdr:from>
    <xdr:ext cx="23260050" cy="7010400"/>
    <xdr:graphicFrame macro="">
      <xdr:nvGraphicFramePr>
        <xdr:cNvPr id="283785101" name="Chart 1" title="Gráfico">
          <a:extLst>
            <a:ext uri="{FF2B5EF4-FFF2-40B4-BE49-F238E27FC236}">
              <a16:creationId xmlns:a16="http://schemas.microsoft.com/office/drawing/2014/main" id="{00000000-0008-0000-0300-00008D37EA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104900" cy="17049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9525</xdr:rowOff>
    </xdr:from>
    <xdr:ext cx="23269575" cy="7019925"/>
    <xdr:graphicFrame macro="">
      <xdr:nvGraphicFramePr>
        <xdr:cNvPr id="2049467717" name="Chart 2" title="Gráfico">
          <a:extLst>
            <a:ext uri="{FF2B5EF4-FFF2-40B4-BE49-F238E27FC236}">
              <a16:creationId xmlns:a16="http://schemas.microsoft.com/office/drawing/2014/main" id="{00000000-0008-0000-0400-0000456528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104900" cy="17049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1676400</xdr:rowOff>
    </xdr:from>
    <xdr:ext cx="23279100" cy="7019925"/>
    <xdr:graphicFrame macro="">
      <xdr:nvGraphicFramePr>
        <xdr:cNvPr id="1925253949" name="Chart 3" title="Gráfico">
          <a:extLst>
            <a:ext uri="{FF2B5EF4-FFF2-40B4-BE49-F238E27FC236}">
              <a16:creationId xmlns:a16="http://schemas.microsoft.com/office/drawing/2014/main" id="{00000000-0008-0000-0500-00003D0BC1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104900" cy="17049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403"/>
  <sheetViews>
    <sheetView tabSelected="1" view="pageBreakPreview" zoomScale="60" zoomScaleNormal="100" workbookViewId="0">
      <pane ySplit="2" topLeftCell="A337" activePane="bottomLeft" state="frozen"/>
      <selection pane="bottomLeft" activeCell="W349" sqref="W349"/>
    </sheetView>
  </sheetViews>
  <sheetFormatPr baseColWidth="10" defaultColWidth="11.1640625" defaultRowHeight="15" customHeight="1"/>
  <cols>
    <col min="1" max="1" width="46.1640625" customWidth="1"/>
    <col min="2" max="2" width="48.33203125" customWidth="1"/>
    <col min="3" max="3" width="57" customWidth="1"/>
    <col min="4" max="4" width="13.6640625" customWidth="1"/>
    <col min="5" max="7" width="10.83203125" customWidth="1"/>
    <col min="8" max="12" width="10.5" customWidth="1"/>
    <col min="13" max="13" width="14" customWidth="1"/>
    <col min="14" max="14" width="11" customWidth="1"/>
    <col min="15" max="15" width="13.1640625" customWidth="1"/>
    <col min="16" max="17" width="12.33203125" customWidth="1"/>
  </cols>
  <sheetData>
    <row r="1" spans="1:17" ht="39.75" customHeight="1" thickTop="1" thickBot="1">
      <c r="A1" s="56" t="s">
        <v>0</v>
      </c>
      <c r="B1" s="57"/>
      <c r="C1" s="57"/>
      <c r="D1" s="58"/>
      <c r="E1" s="56" t="s">
        <v>1</v>
      </c>
      <c r="F1" s="57"/>
      <c r="G1" s="57"/>
      <c r="H1" s="57"/>
      <c r="I1" s="57"/>
      <c r="J1" s="57"/>
      <c r="K1" s="58"/>
      <c r="L1" s="59" t="s">
        <v>2</v>
      </c>
      <c r="M1" s="57"/>
      <c r="N1" s="57"/>
      <c r="O1" s="57"/>
      <c r="P1" s="57"/>
      <c r="Q1" s="58"/>
    </row>
    <row r="2" spans="1:17" ht="39.75" customHeight="1" thickTop="1" thickBot="1">
      <c r="A2" s="1" t="s">
        <v>3</v>
      </c>
      <c r="B2" s="2" t="s">
        <v>4</v>
      </c>
      <c r="C2" s="3" t="s">
        <v>5</v>
      </c>
      <c r="D2" s="4" t="s">
        <v>10</v>
      </c>
      <c r="E2" s="3" t="s">
        <v>11</v>
      </c>
      <c r="F2" s="5" t="s">
        <v>12</v>
      </c>
      <c r="G2" s="5" t="s">
        <v>13</v>
      </c>
      <c r="H2" s="6" t="s">
        <v>14</v>
      </c>
      <c r="I2" s="6" t="s">
        <v>15</v>
      </c>
      <c r="J2" s="6" t="s">
        <v>16</v>
      </c>
      <c r="K2" s="6" t="s">
        <v>17</v>
      </c>
      <c r="L2" s="6" t="s">
        <v>18</v>
      </c>
      <c r="M2" s="6" t="s">
        <v>19</v>
      </c>
      <c r="N2" s="6" t="s">
        <v>20</v>
      </c>
      <c r="O2" s="6" t="s">
        <v>21</v>
      </c>
      <c r="P2" s="6" t="s">
        <v>22</v>
      </c>
      <c r="Q2" s="2" t="s">
        <v>23</v>
      </c>
    </row>
    <row r="3" spans="1:17" ht="39.75" customHeight="1" thickTop="1" thickBot="1">
      <c r="A3" s="55" t="s">
        <v>24</v>
      </c>
      <c r="B3" s="55" t="s">
        <v>24</v>
      </c>
      <c r="C3" s="7" t="s">
        <v>25</v>
      </c>
      <c r="D3" s="9">
        <f ca="1">'PRESIDENCIA 24-25'!G3</f>
        <v>108.70967741935485</v>
      </c>
      <c r="E3" s="10">
        <f ca="1">'PRESIDENCIA 24-25'!H3</f>
        <v>20</v>
      </c>
      <c r="F3" s="10">
        <f ca="1">'PRESIDENCIA 24-25'!I3</f>
        <v>33</v>
      </c>
      <c r="G3" s="10">
        <f ca="1">'PRESIDENCIA 24-25'!J3</f>
        <v>27</v>
      </c>
      <c r="H3" s="10">
        <f ca="1">'PRESIDENCIA 24-25'!K3</f>
        <v>30</v>
      </c>
      <c r="I3" s="10">
        <f ca="1">'PRESIDENCIA 24-25'!L3</f>
        <v>22</v>
      </c>
      <c r="J3" s="10">
        <f ca="1">'PRESIDENCIA 24-25'!M3</f>
        <v>23</v>
      </c>
      <c r="K3" s="10">
        <f ca="1">'PRESIDENCIA 24-25'!N3</f>
        <v>17</v>
      </c>
      <c r="L3" s="10">
        <f ca="1">'PRESIDENCIA 24-25'!O3</f>
        <v>54</v>
      </c>
      <c r="M3" s="10">
        <f ca="1">'PRESIDENCIA 24-25'!P3</f>
        <v>19</v>
      </c>
      <c r="N3" s="10">
        <f ca="1">'PRESIDENCIA 24-25'!Q3</f>
        <v>33</v>
      </c>
      <c r="O3" s="10">
        <f ca="1">'PRESIDENCIA 24-25'!R3</f>
        <v>31</v>
      </c>
      <c r="P3" s="10">
        <f ca="1">'PRESIDENCIA 24-25'!S3</f>
        <v>28</v>
      </c>
      <c r="Q3" s="11">
        <f ca="1">'PRESIDENCIA 24-25'!T3</f>
        <v>337</v>
      </c>
    </row>
    <row r="4" spans="1:17" ht="39.75" customHeight="1" thickTop="1" thickBot="1">
      <c r="A4" s="53"/>
      <c r="B4" s="51"/>
      <c r="C4" s="7" t="s">
        <v>26</v>
      </c>
      <c r="D4" s="9">
        <f ca="1">'PRESIDENCIA 24-25'!G4</f>
        <v>103.37078651685394</v>
      </c>
      <c r="E4" s="10">
        <f ca="1">'PRESIDENCIA 24-25'!H4</f>
        <v>45</v>
      </c>
      <c r="F4" s="10">
        <f ca="1">'PRESIDENCIA 24-25'!I4</f>
        <v>80</v>
      </c>
      <c r="G4" s="10">
        <f ca="1">'PRESIDENCIA 24-25'!J4</f>
        <v>60</v>
      </c>
      <c r="H4" s="10">
        <f ca="1">'PRESIDENCIA 24-25'!K4</f>
        <v>50</v>
      </c>
      <c r="I4" s="10">
        <f ca="1">'PRESIDENCIA 24-25'!L4</f>
        <v>52</v>
      </c>
      <c r="J4" s="10">
        <f>'PRESIDENCIA 24-25'!M4</f>
        <v>42</v>
      </c>
      <c r="K4" s="10">
        <f ca="1">'PRESIDENCIA 24-25'!N4</f>
        <v>58</v>
      </c>
      <c r="L4" s="10">
        <f ca="1">'PRESIDENCIA 24-25'!O4</f>
        <v>201</v>
      </c>
      <c r="M4" s="10">
        <f ca="1">'PRESIDENCIA 24-25'!P4</f>
        <v>38</v>
      </c>
      <c r="N4" s="10">
        <f ca="1">'PRESIDENCIA 24-25'!Q4</f>
        <v>112</v>
      </c>
      <c r="O4" s="10">
        <f ca="1">'PRESIDENCIA 24-25'!R4</f>
        <v>100</v>
      </c>
      <c r="P4" s="10">
        <f ca="1">'PRESIDENCIA 24-25'!S4</f>
        <v>82</v>
      </c>
      <c r="Q4" s="11">
        <f ca="1">'PRESIDENCIA 24-25'!T4</f>
        <v>920</v>
      </c>
    </row>
    <row r="5" spans="1:17" ht="39.75" customHeight="1" thickTop="1" thickBot="1">
      <c r="A5" s="53"/>
      <c r="B5" s="55" t="s">
        <v>27</v>
      </c>
      <c r="C5" s="7" t="s">
        <v>26</v>
      </c>
      <c r="D5" s="9">
        <f ca="1">'PRESIDENCIA 24-25'!G5</f>
        <v>196.4</v>
      </c>
      <c r="E5" s="10">
        <f ca="1">'PRESIDENCIA 24-25'!H5</f>
        <v>20</v>
      </c>
      <c r="F5" s="10">
        <f ca="1">'PRESIDENCIA 24-25'!I5</f>
        <v>22</v>
      </c>
      <c r="G5" s="10">
        <f>'PRESIDENCIA 24-25'!J5</f>
        <v>15</v>
      </c>
      <c r="H5" s="10">
        <f ca="1">'PRESIDENCIA 24-25'!K5</f>
        <v>25</v>
      </c>
      <c r="I5" s="10">
        <f ca="1">'PRESIDENCIA 24-25'!L5</f>
        <v>31</v>
      </c>
      <c r="J5" s="10">
        <f>'PRESIDENCIA 24-25'!M5</f>
        <v>25</v>
      </c>
      <c r="K5" s="10">
        <f ca="1">'PRESIDENCIA 24-25'!N5</f>
        <v>34</v>
      </c>
      <c r="L5" s="10">
        <f ca="1">'PRESIDENCIA 24-25'!O5</f>
        <v>35</v>
      </c>
      <c r="M5" s="10">
        <f ca="1">'PRESIDENCIA 24-25'!P5</f>
        <v>20</v>
      </c>
      <c r="N5" s="10">
        <f ca="1">'PRESIDENCIA 24-25'!Q5</f>
        <v>92</v>
      </c>
      <c r="O5" s="10">
        <f ca="1">'PRESIDENCIA 24-25'!R5</f>
        <v>84</v>
      </c>
      <c r="P5" s="10">
        <f ca="1">'PRESIDENCIA 24-25'!S5</f>
        <v>88</v>
      </c>
      <c r="Q5" s="11">
        <f ca="1">'PRESIDENCIA 24-25'!T5</f>
        <v>491</v>
      </c>
    </row>
    <row r="6" spans="1:17" ht="39.75" customHeight="1" thickTop="1" thickBot="1">
      <c r="A6" s="53"/>
      <c r="B6" s="51"/>
      <c r="C6" s="7" t="s">
        <v>28</v>
      </c>
      <c r="D6" s="9">
        <f ca="1">'PRESIDENCIA 24-25'!G6</f>
        <v>91.764705882352942</v>
      </c>
      <c r="E6" s="10">
        <f ca="1">'PRESIDENCIA 24-25'!H6</f>
        <v>15</v>
      </c>
      <c r="F6" s="10">
        <f ca="1">'PRESIDENCIA 24-25'!I6</f>
        <v>8</v>
      </c>
      <c r="G6" s="10">
        <f ca="1">'PRESIDENCIA 24-25'!J6</f>
        <v>5</v>
      </c>
      <c r="H6" s="10">
        <f ca="1">'PRESIDENCIA 24-25'!K6</f>
        <v>8</v>
      </c>
      <c r="I6" s="10">
        <f ca="1">'PRESIDENCIA 24-25'!L6</f>
        <v>4</v>
      </c>
      <c r="J6" s="10">
        <f ca="1">'PRESIDENCIA 24-25'!M6</f>
        <v>6</v>
      </c>
      <c r="K6" s="10">
        <f ca="1">'PRESIDENCIA 24-25'!N6</f>
        <v>12</v>
      </c>
      <c r="L6" s="10">
        <f ca="1">'PRESIDENCIA 24-25'!O6</f>
        <v>11</v>
      </c>
      <c r="M6" s="10">
        <f ca="1">'PRESIDENCIA 24-25'!P6</f>
        <v>6</v>
      </c>
      <c r="N6" s="10">
        <f ca="1">'PRESIDENCIA 24-25'!Q6</f>
        <v>1</v>
      </c>
      <c r="O6" s="10">
        <f ca="1">'PRESIDENCIA 24-25'!R6</f>
        <v>1</v>
      </c>
      <c r="P6" s="10">
        <f ca="1">'PRESIDENCIA 24-25'!S6</f>
        <v>1</v>
      </c>
      <c r="Q6" s="11">
        <f ca="1">'PRESIDENCIA 24-25'!T6</f>
        <v>78</v>
      </c>
    </row>
    <row r="7" spans="1:17" ht="39.75" customHeight="1" thickTop="1" thickBot="1">
      <c r="A7" s="53"/>
      <c r="B7" s="55" t="s">
        <v>29</v>
      </c>
      <c r="C7" s="7" t="s">
        <v>30</v>
      </c>
      <c r="D7" s="9">
        <f ca="1">'PRESIDENCIA 24-25'!G7</f>
        <v>118.77551020408164</v>
      </c>
      <c r="E7" s="10">
        <f ca="1">'PRESIDENCIA 24-25'!H7</f>
        <v>41</v>
      </c>
      <c r="F7" s="10">
        <f ca="1">'PRESIDENCIA 24-25'!I7</f>
        <v>60</v>
      </c>
      <c r="G7" s="10">
        <f ca="1">'PRESIDENCIA 24-25'!J7</f>
        <v>39</v>
      </c>
      <c r="H7" s="10">
        <f ca="1">'PRESIDENCIA 24-25'!K7</f>
        <v>52</v>
      </c>
      <c r="I7" s="10">
        <f ca="1">'PRESIDENCIA 24-25'!L7</f>
        <v>56</v>
      </c>
      <c r="J7" s="10">
        <f ca="1">'PRESIDENCIA 24-25'!M7</f>
        <v>63</v>
      </c>
      <c r="K7" s="10">
        <f ca="1">'PRESIDENCIA 24-25'!N7</f>
        <v>30</v>
      </c>
      <c r="L7" s="10">
        <f ca="1">'PRESIDENCIA 24-25'!O7</f>
        <v>42</v>
      </c>
      <c r="M7" s="10">
        <f ca="1">'PRESIDENCIA 24-25'!P7</f>
        <v>33</v>
      </c>
      <c r="N7" s="10">
        <f ca="1">'PRESIDENCIA 24-25'!Q7</f>
        <v>63</v>
      </c>
      <c r="O7" s="10">
        <f ca="1">'PRESIDENCIA 24-25'!R7</f>
        <v>78</v>
      </c>
      <c r="P7" s="10">
        <f ca="1">'PRESIDENCIA 24-25'!S7</f>
        <v>25</v>
      </c>
      <c r="Q7" s="11">
        <f ca="1">'PRESIDENCIA 24-25'!T7</f>
        <v>582</v>
      </c>
    </row>
    <row r="8" spans="1:17" ht="39.75" customHeight="1" thickTop="1" thickBot="1">
      <c r="A8" s="53"/>
      <c r="B8" s="51"/>
      <c r="C8" s="7" t="s">
        <v>31</v>
      </c>
      <c r="D8" s="9">
        <f ca="1">'PRESIDENCIA 24-25'!G8</f>
        <v>191.66666666666669</v>
      </c>
      <c r="E8" s="10">
        <f ca="1">'PRESIDENCIA 24-25'!H8</f>
        <v>1</v>
      </c>
      <c r="F8" s="10">
        <f ca="1">'PRESIDENCIA 24-25'!I8</f>
        <v>1</v>
      </c>
      <c r="G8" s="10">
        <f ca="1">'PRESIDENCIA 24-25'!J8</f>
        <v>1</v>
      </c>
      <c r="H8" s="10">
        <f ca="1">'PRESIDENCIA 24-25'!K8</f>
        <v>1</v>
      </c>
      <c r="I8" s="10">
        <f ca="1">'PRESIDENCIA 24-25'!L8</f>
        <v>1</v>
      </c>
      <c r="J8" s="10">
        <f ca="1">'PRESIDENCIA 24-25'!M8</f>
        <v>1</v>
      </c>
      <c r="K8" s="10">
        <f ca="1">'PRESIDENCIA 24-25'!N8</f>
        <v>1</v>
      </c>
      <c r="L8" s="10">
        <f ca="1">'PRESIDENCIA 24-25'!O8</f>
        <v>2</v>
      </c>
      <c r="M8" s="10">
        <f ca="1">'PRESIDENCIA 24-25'!P8</f>
        <v>1</v>
      </c>
      <c r="N8" s="10">
        <f ca="1">'PRESIDENCIA 24-25'!Q8</f>
        <v>4</v>
      </c>
      <c r="O8" s="10">
        <f ca="1">'PRESIDENCIA 24-25'!R8</f>
        <v>4</v>
      </c>
      <c r="P8" s="10">
        <f ca="1">'PRESIDENCIA 24-25'!S8</f>
        <v>5</v>
      </c>
      <c r="Q8" s="11">
        <f ca="1">'PRESIDENCIA 24-25'!T8</f>
        <v>23</v>
      </c>
    </row>
    <row r="9" spans="1:17" ht="39.75" customHeight="1" thickTop="1" thickBot="1">
      <c r="A9" s="53"/>
      <c r="B9" s="55" t="s">
        <v>32</v>
      </c>
      <c r="C9" s="7" t="s">
        <v>33</v>
      </c>
      <c r="D9" s="9">
        <f ca="1">'PRESIDENCIA 24-25'!G9</f>
        <v>140.23255813953489</v>
      </c>
      <c r="E9" s="10">
        <f ca="1">'PRESIDENCIA 24-25'!H9</f>
        <v>35</v>
      </c>
      <c r="F9" s="10">
        <f ca="1">'PRESIDENCIA 24-25'!I9</f>
        <v>42</v>
      </c>
      <c r="G9" s="10">
        <f ca="1">'PRESIDENCIA 24-25'!J9</f>
        <v>39</v>
      </c>
      <c r="H9" s="10">
        <f ca="1">'PRESIDENCIA 24-25'!K9</f>
        <v>39</v>
      </c>
      <c r="I9" s="10">
        <f ca="1">'PRESIDENCIA 24-25'!L9</f>
        <v>48</v>
      </c>
      <c r="J9" s="10">
        <f ca="1">'PRESIDENCIA 24-25'!M9</f>
        <v>38</v>
      </c>
      <c r="K9" s="10">
        <f ca="1">'PRESIDENCIA 24-25'!N9</f>
        <v>37</v>
      </c>
      <c r="L9" s="10">
        <f ca="1">'PRESIDENCIA 24-25'!O9</f>
        <v>45</v>
      </c>
      <c r="M9" s="10">
        <f ca="1">'PRESIDENCIA 24-25'!P9</f>
        <v>53</v>
      </c>
      <c r="N9" s="10">
        <f ca="1">'PRESIDENCIA 24-25'!Q9</f>
        <v>84</v>
      </c>
      <c r="O9" s="10">
        <f ca="1">'PRESIDENCIA 24-25'!R9</f>
        <v>55</v>
      </c>
      <c r="P9" s="10">
        <f ca="1">'PRESIDENCIA 24-25'!S9</f>
        <v>88</v>
      </c>
      <c r="Q9" s="11">
        <f ca="1">'PRESIDENCIA 24-25'!T9</f>
        <v>603</v>
      </c>
    </row>
    <row r="10" spans="1:17" ht="39.75" customHeight="1" thickTop="1" thickBot="1">
      <c r="A10" s="53"/>
      <c r="B10" s="53"/>
      <c r="C10" s="7" t="s">
        <v>34</v>
      </c>
      <c r="D10" s="9">
        <f ca="1">'PRESIDENCIA 24-25'!G10</f>
        <v>120.10526315789474</v>
      </c>
      <c r="E10" s="10">
        <f ca="1">'PRESIDENCIA 24-25'!H10</f>
        <v>50</v>
      </c>
      <c r="F10" s="10">
        <f ca="1">'PRESIDENCIA 24-25'!I10</f>
        <v>72</v>
      </c>
      <c r="G10" s="10">
        <f ca="1">'PRESIDENCIA 24-25'!J10</f>
        <v>69</v>
      </c>
      <c r="H10" s="10">
        <f ca="1">'PRESIDENCIA 24-25'!K10</f>
        <v>172</v>
      </c>
      <c r="I10" s="10">
        <f ca="1">'PRESIDENCIA 24-25'!L10</f>
        <v>140</v>
      </c>
      <c r="J10" s="10">
        <f ca="1">'PRESIDENCIA 24-25'!M10</f>
        <v>142</v>
      </c>
      <c r="K10" s="10">
        <f ca="1">'PRESIDENCIA 24-25'!N10</f>
        <v>76</v>
      </c>
      <c r="L10" s="10">
        <f ca="1">'PRESIDENCIA 24-25'!O10</f>
        <v>58</v>
      </c>
      <c r="M10" s="10">
        <f ca="1">'PRESIDENCIA 24-25'!P10</f>
        <v>73</v>
      </c>
      <c r="N10" s="10">
        <f ca="1">'PRESIDENCIA 24-25'!Q10</f>
        <v>99</v>
      </c>
      <c r="O10" s="10">
        <f ca="1">'PRESIDENCIA 24-25'!R10</f>
        <v>71</v>
      </c>
      <c r="P10" s="10">
        <f ca="1">'PRESIDENCIA 24-25'!S10</f>
        <v>119</v>
      </c>
      <c r="Q10" s="11">
        <f ca="1">'PRESIDENCIA 24-25'!T10</f>
        <v>1141</v>
      </c>
    </row>
    <row r="11" spans="1:17" ht="39.75" customHeight="1" thickTop="1" thickBot="1">
      <c r="A11" s="53"/>
      <c r="B11" s="51"/>
      <c r="C11" s="7" t="s">
        <v>35</v>
      </c>
      <c r="D11" s="9">
        <f ca="1">'PRESIDENCIA 24-25'!G11</f>
        <v>179.18181818181819</v>
      </c>
      <c r="E11" s="10">
        <f ca="1">'PRESIDENCIA 24-25'!H11</f>
        <v>114</v>
      </c>
      <c r="F11" s="10">
        <f ca="1">'PRESIDENCIA 24-25'!I11</f>
        <v>150</v>
      </c>
      <c r="G11" s="10">
        <f ca="1">'PRESIDENCIA 24-25'!J11</f>
        <v>163</v>
      </c>
      <c r="H11" s="10">
        <f ca="1">'PRESIDENCIA 24-25'!K11</f>
        <v>1</v>
      </c>
      <c r="I11" s="10">
        <f ca="1">'PRESIDENCIA 24-25'!L11</f>
        <v>2</v>
      </c>
      <c r="J11" s="10">
        <f ca="1">'PRESIDENCIA 24-25'!M11</f>
        <v>2</v>
      </c>
      <c r="K11" s="10">
        <f ca="1">'PRESIDENCIA 24-25'!N11</f>
        <v>155</v>
      </c>
      <c r="L11" s="10">
        <f ca="1">'PRESIDENCIA 24-25'!O11</f>
        <v>207</v>
      </c>
      <c r="M11" s="10">
        <f ca="1">'PRESIDENCIA 24-25'!P11</f>
        <v>189</v>
      </c>
      <c r="N11" s="10">
        <f ca="1">'PRESIDENCIA 24-25'!Q11</f>
        <v>281</v>
      </c>
      <c r="O11" s="10">
        <f ca="1">'PRESIDENCIA 24-25'!R11</f>
        <v>271</v>
      </c>
      <c r="P11" s="10">
        <f ca="1">'PRESIDENCIA 24-25'!S11</f>
        <v>436</v>
      </c>
      <c r="Q11" s="11">
        <f ca="1">'PRESIDENCIA 24-25'!T11</f>
        <v>1971</v>
      </c>
    </row>
    <row r="12" spans="1:17" ht="39.75" customHeight="1" thickTop="1" thickBot="1">
      <c r="A12" s="53"/>
      <c r="B12" s="55" t="s">
        <v>36</v>
      </c>
      <c r="C12" s="7" t="s">
        <v>37</v>
      </c>
      <c r="D12" s="9">
        <f ca="1">'PRESIDENCIA 24-25'!G12</f>
        <v>121.73913043478262</v>
      </c>
      <c r="E12" s="10">
        <f ca="1">'PRESIDENCIA 24-25'!H12</f>
        <v>0</v>
      </c>
      <c r="F12" s="10">
        <f ca="1">'PRESIDENCIA 24-25'!I12</f>
        <v>0</v>
      </c>
      <c r="G12" s="10">
        <f ca="1">'PRESIDENCIA 24-25'!J12</f>
        <v>0</v>
      </c>
      <c r="H12" s="10">
        <f ca="1">'PRESIDENCIA 24-25'!K12</f>
        <v>2</v>
      </c>
      <c r="I12" s="10">
        <f ca="1">'PRESIDENCIA 24-25'!L12</f>
        <v>3</v>
      </c>
      <c r="J12" s="10">
        <f ca="1">'PRESIDENCIA 24-25'!M12</f>
        <v>2</v>
      </c>
      <c r="K12" s="10">
        <f ca="1">'PRESIDENCIA 24-25'!N12</f>
        <v>3</v>
      </c>
      <c r="L12" s="10">
        <f ca="1">'PRESIDENCIA 24-25'!O12</f>
        <v>5</v>
      </c>
      <c r="M12" s="10">
        <f ca="1">'PRESIDENCIA 24-25'!P12</f>
        <v>3</v>
      </c>
      <c r="N12" s="10">
        <f ca="1">'PRESIDENCIA 24-25'!Q12</f>
        <v>3</v>
      </c>
      <c r="O12" s="10">
        <f ca="1">'PRESIDENCIA 24-25'!R12</f>
        <v>0</v>
      </c>
      <c r="P12" s="10">
        <f ca="1">'PRESIDENCIA 24-25'!S12</f>
        <v>7</v>
      </c>
      <c r="Q12" s="11">
        <f ca="1">'PRESIDENCIA 24-25'!T12</f>
        <v>28</v>
      </c>
    </row>
    <row r="13" spans="1:17" ht="39.75" customHeight="1" thickTop="1" thickBot="1">
      <c r="A13" s="51"/>
      <c r="B13" s="51"/>
      <c r="C13" s="7" t="s">
        <v>38</v>
      </c>
      <c r="D13" s="9">
        <f ca="1">'PRESIDENCIA 24-25'!G13</f>
        <v>144.04651162790699</v>
      </c>
      <c r="E13" s="10">
        <f ca="1">'PRESIDENCIA 24-25'!H13</f>
        <v>0</v>
      </c>
      <c r="F13" s="10">
        <f ca="1">'PRESIDENCIA 24-25'!I13</f>
        <v>0</v>
      </c>
      <c r="G13" s="10">
        <f ca="1">'PRESIDENCIA 24-25'!J13</f>
        <v>0</v>
      </c>
      <c r="H13" s="10">
        <f ca="1">'PRESIDENCIA 24-25'!K13</f>
        <v>255</v>
      </c>
      <c r="I13" s="10">
        <f ca="1">'PRESIDENCIA 24-25'!L13</f>
        <v>272</v>
      </c>
      <c r="J13" s="10">
        <f ca="1">'PRESIDENCIA 24-25'!M13</f>
        <v>350</v>
      </c>
      <c r="K13" s="10">
        <f ca="1">'PRESIDENCIA 24-25'!N13</f>
        <v>253</v>
      </c>
      <c r="L13" s="10">
        <f ca="1">'PRESIDENCIA 24-25'!O13</f>
        <v>326</v>
      </c>
      <c r="M13" s="10">
        <f ca="1">'PRESIDENCIA 24-25'!P13</f>
        <v>250</v>
      </c>
      <c r="N13" s="10">
        <f ca="1">'PRESIDENCIA 24-25'!Q13</f>
        <v>251</v>
      </c>
      <c r="O13" s="10">
        <f ca="1">'PRESIDENCIA 24-25'!R13</f>
        <v>0</v>
      </c>
      <c r="P13" s="10">
        <f ca="1">'PRESIDENCIA 24-25'!S13</f>
        <v>1140</v>
      </c>
      <c r="Q13" s="11">
        <f ca="1">'PRESIDENCIA 24-25'!T13</f>
        <v>3097</v>
      </c>
    </row>
    <row r="14" spans="1:17" ht="39.75" customHeight="1" thickTop="1" thickBot="1">
      <c r="A14" s="52" t="s">
        <v>39</v>
      </c>
      <c r="B14" s="52" t="s">
        <v>40</v>
      </c>
      <c r="C14" s="12" t="s">
        <v>37</v>
      </c>
      <c r="D14" s="9">
        <f ca="1">SIN1PERIODO!F2</f>
        <v>107.142857142857</v>
      </c>
      <c r="E14" s="10">
        <f ca="1">SIN1PERIODO!G2</f>
        <v>1</v>
      </c>
      <c r="F14" s="10">
        <f ca="1">SIN1PERIODO!H2</f>
        <v>3</v>
      </c>
      <c r="G14" s="10">
        <f ca="1">SIN1PERIODO!I2</f>
        <v>7</v>
      </c>
      <c r="H14" s="10">
        <f ca="1">SIN1PERIODO!J2</f>
        <v>3</v>
      </c>
      <c r="I14" s="10">
        <f ca="1">SIN1PERIODO!K2</f>
        <v>2</v>
      </c>
      <c r="J14" s="10">
        <f ca="1">SIN1PERIODO!L2</f>
        <v>4</v>
      </c>
      <c r="K14" s="10">
        <f ca="1">SIN1PERIODO!M2</f>
        <v>1</v>
      </c>
      <c r="L14" s="10">
        <f ca="1">SIN1PERIODO!N2</f>
        <v>1</v>
      </c>
      <c r="M14" s="10">
        <f ca="1">SIN1PERIODO!O2</f>
        <v>1</v>
      </c>
      <c r="N14" s="10">
        <f ca="1">SIN1PERIODO!P2</f>
        <v>0</v>
      </c>
      <c r="O14" s="10">
        <f ca="1">SIN1PERIODO!Q2</f>
        <v>3</v>
      </c>
      <c r="P14" s="10">
        <f ca="1">SIN1PERIODO!R2</f>
        <v>4</v>
      </c>
      <c r="Q14" s="11">
        <f ca="1">SIN1PERIODO!S2</f>
        <v>30</v>
      </c>
    </row>
    <row r="15" spans="1:17" ht="39.75" customHeight="1" thickTop="1" thickBot="1">
      <c r="A15" s="53"/>
      <c r="B15" s="51"/>
      <c r="C15" s="12" t="s">
        <v>38</v>
      </c>
      <c r="D15" s="9">
        <f ca="1">SIN1PERIODO!F3</f>
        <v>130.462427745664</v>
      </c>
      <c r="E15" s="10">
        <f ca="1">SIN1PERIODO!G3</f>
        <v>40</v>
      </c>
      <c r="F15" s="10">
        <f ca="1">SIN1PERIODO!H3</f>
        <v>250</v>
      </c>
      <c r="G15" s="10">
        <f ca="1">SIN1PERIODO!I3</f>
        <v>470</v>
      </c>
      <c r="H15" s="10">
        <f ca="1">SIN1PERIODO!J3</f>
        <v>772</v>
      </c>
      <c r="I15" s="10">
        <f ca="1">SIN1PERIODO!K3</f>
        <v>810</v>
      </c>
      <c r="J15" s="10">
        <f ca="1">SIN1PERIODO!L3</f>
        <v>840</v>
      </c>
      <c r="K15" s="10">
        <f ca="1">SIN1PERIODO!M3</f>
        <v>38</v>
      </c>
      <c r="L15" s="10">
        <f ca="1">SIN1PERIODO!N3</f>
        <v>40</v>
      </c>
      <c r="M15" s="10">
        <f ca="1">SIN1PERIODO!O3</f>
        <v>26</v>
      </c>
      <c r="N15" s="10">
        <f ca="1">SIN1PERIODO!P3</f>
        <v>0</v>
      </c>
      <c r="O15" s="10">
        <f ca="1">SIN1PERIODO!Q3</f>
        <v>485</v>
      </c>
      <c r="P15" s="10">
        <f ca="1">SIN1PERIODO!R3</f>
        <v>743</v>
      </c>
      <c r="Q15" s="11">
        <f ca="1">SIN1PERIODO!S3</f>
        <v>4514</v>
      </c>
    </row>
    <row r="16" spans="1:17" ht="39.75" customHeight="1" thickTop="1" thickBot="1">
      <c r="A16" s="53"/>
      <c r="B16" s="13" t="s">
        <v>41</v>
      </c>
      <c r="C16" s="12" t="s">
        <v>42</v>
      </c>
      <c r="D16" s="9">
        <f ca="1">SIN1PERIODO!F4</f>
        <v>132.258064516129</v>
      </c>
      <c r="E16" s="10">
        <f ca="1">SIN1PERIODO!G4</f>
        <v>10</v>
      </c>
      <c r="F16" s="10">
        <f ca="1">SIN1PERIODO!H4</f>
        <v>17</v>
      </c>
      <c r="G16" s="10">
        <f ca="1">SIN1PERIODO!I4</f>
        <v>14</v>
      </c>
      <c r="H16" s="10">
        <f ca="1">SIN1PERIODO!J4</f>
        <v>16</v>
      </c>
      <c r="I16" s="10">
        <f ca="1">SIN1PERIODO!K4</f>
        <v>14</v>
      </c>
      <c r="J16" s="10">
        <f ca="1">SIN1PERIODO!L4</f>
        <v>18</v>
      </c>
      <c r="K16" s="10">
        <f ca="1">SIN1PERIODO!M4</f>
        <v>11</v>
      </c>
      <c r="L16" s="10">
        <f ca="1">SIN1PERIODO!N4</f>
        <v>13</v>
      </c>
      <c r="M16" s="10">
        <f ca="1">SIN1PERIODO!O4</f>
        <v>13</v>
      </c>
      <c r="N16" s="10">
        <f ca="1">SIN1PERIODO!P4</f>
        <v>25</v>
      </c>
      <c r="O16" s="10">
        <f ca="1">SIN1PERIODO!Q4</f>
        <v>37</v>
      </c>
      <c r="P16" s="10">
        <f ca="1">SIN1PERIODO!R4</f>
        <v>17</v>
      </c>
      <c r="Q16" s="11">
        <f ca="1">SIN1PERIODO!S4</f>
        <v>205</v>
      </c>
    </row>
    <row r="17" spans="1:17" ht="39.75" customHeight="1" thickTop="1" thickBot="1">
      <c r="A17" s="53"/>
      <c r="B17" s="52" t="s">
        <v>43</v>
      </c>
      <c r="C17" s="12" t="s">
        <v>44</v>
      </c>
      <c r="D17" s="9">
        <f ca="1">SIN1PERIODO!F5</f>
        <v>141.25</v>
      </c>
      <c r="E17" s="10">
        <f ca="1">SIN1PERIODO!G5</f>
        <v>48</v>
      </c>
      <c r="F17" s="10">
        <f ca="1">SIN1PERIODO!H5</f>
        <v>55</v>
      </c>
      <c r="G17" s="10">
        <f ca="1">SIN1PERIODO!I5</f>
        <v>46</v>
      </c>
      <c r="H17" s="10">
        <f ca="1">SIN1PERIODO!J5</f>
        <v>52</v>
      </c>
      <c r="I17" s="10">
        <f ca="1">SIN1PERIODO!K5</f>
        <v>54</v>
      </c>
      <c r="J17" s="10">
        <f ca="1">SIN1PERIODO!L5</f>
        <v>59</v>
      </c>
      <c r="K17" s="10">
        <f ca="1">SIN1PERIODO!M5</f>
        <v>58</v>
      </c>
      <c r="L17" s="10">
        <f ca="1">SIN1PERIODO!N5</f>
        <v>48</v>
      </c>
      <c r="M17" s="10">
        <f ca="1">SIN1PERIODO!O5</f>
        <v>37</v>
      </c>
      <c r="N17" s="10">
        <f ca="1">SIN1PERIODO!P5</f>
        <v>78</v>
      </c>
      <c r="O17" s="10">
        <f ca="1">SIN1PERIODO!Q5</f>
        <v>69</v>
      </c>
      <c r="P17" s="10">
        <f ca="1">SIN1PERIODO!R5</f>
        <v>74</v>
      </c>
      <c r="Q17" s="11">
        <f ca="1">SIN1PERIODO!S5</f>
        <v>678</v>
      </c>
    </row>
    <row r="18" spans="1:17" ht="39.75" customHeight="1" thickTop="1" thickBot="1">
      <c r="A18" s="53"/>
      <c r="B18" s="51"/>
      <c r="C18" s="12" t="s">
        <v>45</v>
      </c>
      <c r="D18" s="9">
        <f ca="1">SIN1PERIODO!F6</f>
        <v>106.666666666666</v>
      </c>
      <c r="E18" s="10">
        <f ca="1">SIN1PERIODO!G6</f>
        <v>0</v>
      </c>
      <c r="F18" s="10">
        <f ca="1">SIN1PERIODO!H6</f>
        <v>0</v>
      </c>
      <c r="G18" s="10">
        <f ca="1">SIN1PERIODO!I6</f>
        <v>0</v>
      </c>
      <c r="H18" s="10">
        <f ca="1">SIN1PERIODO!J6</f>
        <v>0</v>
      </c>
      <c r="I18" s="10">
        <f ca="1">SIN1PERIODO!K6</f>
        <v>0</v>
      </c>
      <c r="J18" s="10">
        <f ca="1">SIN1PERIODO!L6</f>
        <v>0</v>
      </c>
      <c r="K18" s="10">
        <f ca="1">SIN1PERIODO!M6</f>
        <v>8</v>
      </c>
      <c r="L18" s="10">
        <f ca="1">SIN1PERIODO!N6</f>
        <v>4</v>
      </c>
      <c r="M18" s="10">
        <f ca="1">SIN1PERIODO!O6</f>
        <v>1</v>
      </c>
      <c r="N18" s="10">
        <f ca="1">SIN1PERIODO!P6</f>
        <v>0</v>
      </c>
      <c r="O18" s="10">
        <f ca="1">SIN1PERIODO!Q6</f>
        <v>0</v>
      </c>
      <c r="P18" s="10">
        <f ca="1">SIN1PERIODO!R6</f>
        <v>3</v>
      </c>
      <c r="Q18" s="11">
        <f ca="1">SIN1PERIODO!S6</f>
        <v>16</v>
      </c>
    </row>
    <row r="19" spans="1:17" ht="39.75" customHeight="1" thickTop="1" thickBot="1">
      <c r="A19" s="53"/>
      <c r="B19" s="52" t="s">
        <v>46</v>
      </c>
      <c r="C19" s="12" t="s">
        <v>47</v>
      </c>
      <c r="D19" s="9">
        <f ca="1">SIN1PERIODO!F7</f>
        <v>93.428571428571402</v>
      </c>
      <c r="E19" s="10">
        <f ca="1">SIN1PERIODO!G7</f>
        <v>6</v>
      </c>
      <c r="F19" s="10">
        <f ca="1">SIN1PERIODO!H7</f>
        <v>87</v>
      </c>
      <c r="G19" s="10">
        <f ca="1">SIN1PERIODO!I7</f>
        <v>45</v>
      </c>
      <c r="H19" s="10">
        <f ca="1">SIN1PERIODO!J7</f>
        <v>24</v>
      </c>
      <c r="I19" s="10">
        <f ca="1">SIN1PERIODO!K7</f>
        <v>17</v>
      </c>
      <c r="J19" s="10">
        <f ca="1">SIN1PERIODO!L7</f>
        <v>24</v>
      </c>
      <c r="K19" s="10">
        <f ca="1">SIN1PERIODO!M7</f>
        <v>20</v>
      </c>
      <c r="L19" s="10">
        <f ca="1">SIN1PERIODO!N7</f>
        <v>32</v>
      </c>
      <c r="M19" s="10">
        <f ca="1">SIN1PERIODO!O7</f>
        <v>40</v>
      </c>
      <c r="N19" s="10">
        <f ca="1">SIN1PERIODO!P7</f>
        <v>10</v>
      </c>
      <c r="O19" s="10">
        <f ca="1">SIN1PERIODO!Q7</f>
        <v>7</v>
      </c>
      <c r="P19" s="10">
        <f ca="1">SIN1PERIODO!R7</f>
        <v>15</v>
      </c>
      <c r="Q19" s="11">
        <f ca="1">SIN1PERIODO!S7</f>
        <v>327</v>
      </c>
    </row>
    <row r="20" spans="1:17" ht="39.75" customHeight="1" thickTop="1" thickBot="1">
      <c r="A20" s="53"/>
      <c r="B20" s="53"/>
      <c r="C20" s="12" t="s">
        <v>48</v>
      </c>
      <c r="D20" s="9">
        <f ca="1">SIN1PERIODO!F8</f>
        <v>79.3333333333333</v>
      </c>
      <c r="E20" s="10">
        <f ca="1">SIN1PERIODO!G8</f>
        <v>70</v>
      </c>
      <c r="F20" s="10">
        <f ca="1">SIN1PERIODO!H8</f>
        <v>91</v>
      </c>
      <c r="G20" s="10">
        <f ca="1">SIN1PERIODO!I8</f>
        <v>105</v>
      </c>
      <c r="H20" s="10">
        <f ca="1">SIN1PERIODO!J8</f>
        <v>118</v>
      </c>
      <c r="I20" s="10">
        <f ca="1">SIN1PERIODO!K8</f>
        <v>110</v>
      </c>
      <c r="J20" s="10">
        <f ca="1">SIN1PERIODO!L8</f>
        <v>97</v>
      </c>
      <c r="K20" s="10">
        <f ca="1">SIN1PERIODO!M8</f>
        <v>52</v>
      </c>
      <c r="L20" s="10">
        <f ca="1">SIN1PERIODO!N8</f>
        <v>63</v>
      </c>
      <c r="M20" s="10">
        <f ca="1">SIN1PERIODO!O8</f>
        <v>41</v>
      </c>
      <c r="N20" s="10">
        <f ca="1">SIN1PERIODO!P8</f>
        <v>35</v>
      </c>
      <c r="O20" s="10">
        <f ca="1">SIN1PERIODO!Q8</f>
        <v>38</v>
      </c>
      <c r="P20" s="10">
        <f ca="1">SIN1PERIODO!R8</f>
        <v>13</v>
      </c>
      <c r="Q20" s="11">
        <f ca="1">SIN1PERIODO!S8</f>
        <v>833</v>
      </c>
    </row>
    <row r="21" spans="1:17" ht="39.75" customHeight="1" thickTop="1" thickBot="1">
      <c r="A21" s="51"/>
      <c r="B21" s="51"/>
      <c r="C21" s="12" t="s">
        <v>49</v>
      </c>
      <c r="D21" s="9">
        <f ca="1">SIN1PERIODO!F9</f>
        <v>125.128205128205</v>
      </c>
      <c r="E21" s="10">
        <f ca="1">SIN1PERIODO!G9</f>
        <v>25</v>
      </c>
      <c r="F21" s="10">
        <f ca="1">SIN1PERIODO!H9</f>
        <v>35</v>
      </c>
      <c r="G21" s="10">
        <f ca="1">SIN1PERIODO!I9</f>
        <v>58</v>
      </c>
      <c r="H21" s="10">
        <f ca="1">SIN1PERIODO!J9</f>
        <v>42</v>
      </c>
      <c r="I21" s="10">
        <f ca="1">SIN1PERIODO!K9</f>
        <v>48</v>
      </c>
      <c r="J21" s="10">
        <f ca="1">SIN1PERIODO!L9</f>
        <v>50</v>
      </c>
      <c r="K21" s="10">
        <f ca="1">SIN1PERIODO!M9</f>
        <v>23</v>
      </c>
      <c r="L21" s="10">
        <f ca="1">SIN1PERIODO!N9</f>
        <v>29</v>
      </c>
      <c r="M21" s="10">
        <f ca="1">SIN1PERIODO!O9</f>
        <v>16</v>
      </c>
      <c r="N21" s="10">
        <f ca="1">SIN1PERIODO!P9</f>
        <v>56</v>
      </c>
      <c r="O21" s="10">
        <f ca="1">SIN1PERIODO!Q9</f>
        <v>63</v>
      </c>
      <c r="P21" s="10">
        <f ca="1">SIN1PERIODO!R9</f>
        <v>43</v>
      </c>
      <c r="Q21" s="11">
        <f ca="1">SIN1PERIODO!S9</f>
        <v>488</v>
      </c>
    </row>
    <row r="22" spans="1:17" ht="39.75" customHeight="1" thickTop="1" thickBot="1">
      <c r="A22" s="55" t="s">
        <v>50</v>
      </c>
      <c r="B22" s="55" t="s">
        <v>50</v>
      </c>
      <c r="C22" s="7" t="s">
        <v>51</v>
      </c>
      <c r="D22" s="9">
        <f ca="1">SECGEN1PERIODO!F2</f>
        <v>95</v>
      </c>
      <c r="E22" s="14">
        <f ca="1">SECGEN1PERIODO!G2</f>
        <v>2</v>
      </c>
      <c r="F22" s="14">
        <f ca="1">SECGEN1PERIODO!H2</f>
        <v>1</v>
      </c>
      <c r="G22" s="14">
        <f ca="1">SECGEN1PERIODO!I2</f>
        <v>2</v>
      </c>
      <c r="H22" s="14">
        <f ca="1">SECGEN1PERIODO!J2</f>
        <v>2</v>
      </c>
      <c r="I22" s="14">
        <f ca="1">SECGEN1PERIODO!K2</f>
        <v>2</v>
      </c>
      <c r="J22" s="14">
        <f ca="1">SECGEN1PERIODO!L2</f>
        <v>2</v>
      </c>
      <c r="K22" s="14">
        <f ca="1">SECGEN1PERIODO!M2</f>
        <v>1</v>
      </c>
      <c r="L22" s="14">
        <f ca="1">SECGEN1PERIODO!N2</f>
        <v>2</v>
      </c>
      <c r="M22" s="14">
        <f ca="1">SECGEN1PERIODO!O2</f>
        <v>2</v>
      </c>
      <c r="N22" s="14">
        <f ca="1">SECGEN1PERIODO!P2</f>
        <v>1</v>
      </c>
      <c r="O22" s="14">
        <f ca="1">SECGEN1PERIODO!Q2</f>
        <v>1</v>
      </c>
      <c r="P22" s="14">
        <f ca="1">SECGEN1PERIODO!R2</f>
        <v>1</v>
      </c>
      <c r="Q22" s="15">
        <f ca="1">SECGEN1PERIODO!S2</f>
        <v>19</v>
      </c>
    </row>
    <row r="23" spans="1:17" ht="39.75" customHeight="1" thickTop="1" thickBot="1">
      <c r="A23" s="53"/>
      <c r="B23" s="53"/>
      <c r="C23" s="7" t="s">
        <v>52</v>
      </c>
      <c r="D23" s="9">
        <f ca="1">SECGEN1PERIODO!F3</f>
        <v>119.75</v>
      </c>
      <c r="E23" s="14">
        <f ca="1">SECGEN1PERIODO!G3</f>
        <v>91</v>
      </c>
      <c r="F23" s="14">
        <f ca="1">SECGEN1PERIODO!H3</f>
        <v>113</v>
      </c>
      <c r="G23" s="14">
        <f ca="1">SECGEN1PERIODO!I3</f>
        <v>100</v>
      </c>
      <c r="H23" s="14">
        <f ca="1">SECGEN1PERIODO!J3</f>
        <v>97</v>
      </c>
      <c r="I23" s="14">
        <f ca="1">SECGEN1PERIODO!K3</f>
        <v>109</v>
      </c>
      <c r="J23" s="14">
        <f ca="1">SECGEN1PERIODO!L3</f>
        <v>89</v>
      </c>
      <c r="K23" s="14">
        <f ca="1">SECGEN1PERIODO!M3</f>
        <v>97</v>
      </c>
      <c r="L23" s="14">
        <f ca="1">SECGEN1PERIODO!N3</f>
        <v>114</v>
      </c>
      <c r="M23" s="14">
        <f ca="1">SECGEN1PERIODO!O3</f>
        <v>180</v>
      </c>
      <c r="N23" s="14">
        <f ca="1">SECGEN1PERIODO!P3</f>
        <v>158</v>
      </c>
      <c r="O23" s="14">
        <f ca="1">SECGEN1PERIODO!Q3</f>
        <v>183</v>
      </c>
      <c r="P23" s="14">
        <f ca="1">SECGEN1PERIODO!R3</f>
        <v>106</v>
      </c>
      <c r="Q23" s="15">
        <f ca="1">SECGEN1PERIODO!S3</f>
        <v>1437</v>
      </c>
    </row>
    <row r="24" spans="1:17" ht="39.75" customHeight="1" thickTop="1" thickBot="1">
      <c r="A24" s="53"/>
      <c r="B24" s="51"/>
      <c r="C24" s="7" t="s">
        <v>53</v>
      </c>
      <c r="D24" s="9">
        <f ca="1">SECGEN1PERIODO!F4</f>
        <v>106.25</v>
      </c>
      <c r="E24" s="14">
        <f ca="1">SECGEN1PERIODO!G4</f>
        <v>0</v>
      </c>
      <c r="F24" s="14">
        <f ca="1">SECGEN1PERIODO!H4</f>
        <v>0</v>
      </c>
      <c r="G24" s="14">
        <f ca="1">SECGEN1PERIODO!I4</f>
        <v>0</v>
      </c>
      <c r="H24" s="14">
        <f ca="1">SECGEN1PERIODO!J4</f>
        <v>2</v>
      </c>
      <c r="I24" s="14">
        <f ca="1">SECGEN1PERIODO!K4</f>
        <v>32</v>
      </c>
      <c r="J24" s="14">
        <f ca="1">SECGEN1PERIODO!L4</f>
        <v>21</v>
      </c>
      <c r="K24" s="14">
        <f ca="1">SECGEN1PERIODO!M4</f>
        <v>6</v>
      </c>
      <c r="L24" s="14">
        <f ca="1">SECGEN1PERIODO!N4</f>
        <v>1</v>
      </c>
      <c r="M24" s="14">
        <f ca="1">SECGEN1PERIODO!O4</f>
        <v>2</v>
      </c>
      <c r="N24" s="14">
        <f ca="1">SECGEN1PERIODO!P4</f>
        <v>2</v>
      </c>
      <c r="O24" s="14">
        <f ca="1">SECGEN1PERIODO!Q4</f>
        <v>9</v>
      </c>
      <c r="P24" s="14">
        <f ca="1">SECGEN1PERIODO!R4</f>
        <v>10</v>
      </c>
      <c r="Q24" s="15">
        <f ca="1">SECGEN1PERIODO!S4</f>
        <v>85</v>
      </c>
    </row>
    <row r="25" spans="1:17" ht="39.75" customHeight="1" thickTop="1" thickBot="1">
      <c r="A25" s="53"/>
      <c r="B25" s="55" t="s">
        <v>54</v>
      </c>
      <c r="C25" s="7" t="s">
        <v>55</v>
      </c>
      <c r="D25" s="9">
        <f ca="1">SECGEN1PERIODO!F5</f>
        <v>102.222222222222</v>
      </c>
      <c r="E25" s="14">
        <f ca="1">SECGEN1PERIODO!G5</f>
        <v>2</v>
      </c>
      <c r="F25" s="14">
        <f ca="1">SECGEN1PERIODO!H5</f>
        <v>3</v>
      </c>
      <c r="G25" s="14">
        <f ca="1">SECGEN1PERIODO!I5</f>
        <v>6</v>
      </c>
      <c r="H25" s="14">
        <f ca="1">SECGEN1PERIODO!J5</f>
        <v>4</v>
      </c>
      <c r="I25" s="14">
        <f ca="1">SECGEN1PERIODO!K5</f>
        <v>4</v>
      </c>
      <c r="J25" s="14">
        <f ca="1">SECGEN1PERIODO!L5</f>
        <v>4</v>
      </c>
      <c r="K25" s="14">
        <f ca="1">SECGEN1PERIODO!M5</f>
        <v>1</v>
      </c>
      <c r="L25" s="14">
        <f ca="1">SECGEN1PERIODO!N5</f>
        <v>7</v>
      </c>
      <c r="M25" s="14">
        <f ca="1">SECGEN1PERIODO!O5</f>
        <v>4</v>
      </c>
      <c r="N25" s="14">
        <f ca="1">SECGEN1PERIODO!P5</f>
        <v>5</v>
      </c>
      <c r="O25" s="14">
        <f ca="1">SECGEN1PERIODO!Q5</f>
        <v>2</v>
      </c>
      <c r="P25" s="14">
        <f ca="1">SECGEN1PERIODO!R5</f>
        <v>4</v>
      </c>
      <c r="Q25" s="15">
        <f ca="1">SECGEN1PERIODO!S5</f>
        <v>46</v>
      </c>
    </row>
    <row r="26" spans="1:17" ht="39.75" customHeight="1" thickTop="1" thickBot="1">
      <c r="A26" s="53"/>
      <c r="B26" s="53"/>
      <c r="C26" s="7" t="s">
        <v>56</v>
      </c>
      <c r="D26" s="9">
        <f ca="1">SECGEN1PERIODO!F6</f>
        <v>96.376811594202806</v>
      </c>
      <c r="E26" s="14">
        <f ca="1">SECGEN1PERIODO!G6</f>
        <v>11</v>
      </c>
      <c r="F26" s="14">
        <f ca="1">SECGEN1PERIODO!H6</f>
        <v>21</v>
      </c>
      <c r="G26" s="14">
        <f ca="1">SECGEN1PERIODO!I6</f>
        <v>11</v>
      </c>
      <c r="H26" s="14">
        <f ca="1">SECGEN1PERIODO!J6</f>
        <v>20</v>
      </c>
      <c r="I26" s="14">
        <f ca="1">SECGEN1PERIODO!K6</f>
        <v>10</v>
      </c>
      <c r="J26" s="14">
        <f ca="1">SECGEN1PERIODO!L6</f>
        <v>15</v>
      </c>
      <c r="K26" s="14">
        <f ca="1">SECGEN1PERIODO!M6</f>
        <v>4</v>
      </c>
      <c r="L26" s="14">
        <f ca="1">SECGEN1PERIODO!N6</f>
        <v>11</v>
      </c>
      <c r="M26" s="14">
        <f ca="1">SECGEN1PERIODO!O6</f>
        <v>14</v>
      </c>
      <c r="N26" s="14">
        <f ca="1">SECGEN1PERIODO!P6</f>
        <v>2</v>
      </c>
      <c r="O26" s="14">
        <f ca="1">SECGEN1PERIODO!Q6</f>
        <v>6</v>
      </c>
      <c r="P26" s="14">
        <f ca="1">SECGEN1PERIODO!R6</f>
        <v>8</v>
      </c>
      <c r="Q26" s="15">
        <f ca="1">SECGEN1PERIODO!S6</f>
        <v>133</v>
      </c>
    </row>
    <row r="27" spans="1:17" ht="39.75" customHeight="1" thickTop="1" thickBot="1">
      <c r="A27" s="53"/>
      <c r="B27" s="53"/>
      <c r="C27" s="7" t="s">
        <v>57</v>
      </c>
      <c r="D27" s="9">
        <f ca="1">SECGEN1PERIODO!F7</f>
        <v>105.263157894736</v>
      </c>
      <c r="E27" s="14">
        <f ca="1">SECGEN1PERIODO!G7</f>
        <v>2</v>
      </c>
      <c r="F27" s="14">
        <f ca="1">SECGEN1PERIODO!H7</f>
        <v>6</v>
      </c>
      <c r="G27" s="14">
        <f ca="1">SECGEN1PERIODO!I7</f>
        <v>4</v>
      </c>
      <c r="H27" s="14">
        <f ca="1">SECGEN1PERIODO!J7</f>
        <v>2</v>
      </c>
      <c r="I27" s="14">
        <f ca="1">SECGEN1PERIODO!K7</f>
        <v>3</v>
      </c>
      <c r="J27" s="14">
        <f ca="1">SECGEN1PERIODO!L7</f>
        <v>2</v>
      </c>
      <c r="K27" s="14">
        <f ca="1">SECGEN1PERIODO!M7</f>
        <v>2</v>
      </c>
      <c r="L27" s="14">
        <f ca="1">SECGEN1PERIODO!N7</f>
        <v>1</v>
      </c>
      <c r="M27" s="14">
        <f ca="1">SECGEN1PERIODO!O7</f>
        <v>7</v>
      </c>
      <c r="N27" s="14">
        <f ca="1">SECGEN1PERIODO!P7</f>
        <v>8</v>
      </c>
      <c r="O27" s="14">
        <f ca="1">SECGEN1PERIODO!Q7</f>
        <v>1</v>
      </c>
      <c r="P27" s="14">
        <f ca="1">SECGEN1PERIODO!R7</f>
        <v>2</v>
      </c>
      <c r="Q27" s="15">
        <f ca="1">SECGEN1PERIODO!S7</f>
        <v>40</v>
      </c>
    </row>
    <row r="28" spans="1:17" ht="39.75" customHeight="1" thickTop="1" thickBot="1">
      <c r="A28" s="53"/>
      <c r="B28" s="53"/>
      <c r="C28" s="7" t="s">
        <v>58</v>
      </c>
      <c r="D28" s="9">
        <f ca="1">SECGEN1PERIODO!F8</f>
        <v>95.769230769230703</v>
      </c>
      <c r="E28" s="14">
        <f ca="1">SECGEN1PERIODO!G8</f>
        <v>90</v>
      </c>
      <c r="F28" s="14">
        <f ca="1">SECGEN1PERIODO!H8</f>
        <v>100</v>
      </c>
      <c r="G28" s="14">
        <f ca="1">SECGEN1PERIODO!I8</f>
        <v>104</v>
      </c>
      <c r="H28" s="14">
        <f ca="1">SECGEN1PERIODO!J8</f>
        <v>365</v>
      </c>
      <c r="I28" s="14">
        <f ca="1">SECGEN1PERIODO!K8</f>
        <v>105</v>
      </c>
      <c r="J28" s="14">
        <f ca="1">SECGEN1PERIODO!L8</f>
        <v>115</v>
      </c>
      <c r="K28" s="14">
        <f ca="1">SECGEN1PERIODO!M8</f>
        <v>110</v>
      </c>
      <c r="L28" s="14">
        <f ca="1">SECGEN1PERIODO!N8</f>
        <v>107</v>
      </c>
      <c r="M28" s="14">
        <f ca="1">SECGEN1PERIODO!O8</f>
        <v>118</v>
      </c>
      <c r="N28" s="14">
        <f ca="1">SECGEN1PERIODO!P8</f>
        <v>7</v>
      </c>
      <c r="O28" s="14">
        <f ca="1">SECGEN1PERIODO!Q8</f>
        <v>5</v>
      </c>
      <c r="P28" s="14">
        <f ca="1">SECGEN1PERIODO!R8</f>
        <v>19</v>
      </c>
      <c r="Q28" s="15">
        <f ca="1">SECGEN1PERIODO!S8</f>
        <v>1245</v>
      </c>
    </row>
    <row r="29" spans="1:17" ht="39.75" customHeight="1" thickTop="1" thickBot="1">
      <c r="A29" s="53"/>
      <c r="B29" s="51"/>
      <c r="C29" s="7" t="s">
        <v>59</v>
      </c>
      <c r="D29" s="9">
        <f ca="1">SECGEN1PERIODO!F9</f>
        <v>106.666666666666</v>
      </c>
      <c r="E29" s="14">
        <f ca="1">SECGEN1PERIODO!G9</f>
        <v>2</v>
      </c>
      <c r="F29" s="14">
        <f ca="1">SECGEN1PERIODO!H9</f>
        <v>6</v>
      </c>
      <c r="G29" s="14">
        <f ca="1">SECGEN1PERIODO!I9</f>
        <v>6</v>
      </c>
      <c r="H29" s="14">
        <f ca="1">SECGEN1PERIODO!J9</f>
        <v>7</v>
      </c>
      <c r="I29" s="14">
        <f ca="1">SECGEN1PERIODO!K9</f>
        <v>6</v>
      </c>
      <c r="J29" s="14">
        <f ca="1">SECGEN1PERIODO!L9</f>
        <v>7</v>
      </c>
      <c r="K29" s="14">
        <f ca="1">SECGEN1PERIODO!M9</f>
        <v>2</v>
      </c>
      <c r="L29" s="14">
        <f ca="1">SECGEN1PERIODO!N9</f>
        <v>3</v>
      </c>
      <c r="M29" s="14">
        <f ca="1">SECGEN1PERIODO!O9</f>
        <v>16</v>
      </c>
      <c r="N29" s="14">
        <f ca="1">SECGEN1PERIODO!P9</f>
        <v>8</v>
      </c>
      <c r="O29" s="14">
        <f ca="1">SECGEN1PERIODO!Q9</f>
        <v>1</v>
      </c>
      <c r="P29" s="14">
        <f ca="1">SECGEN1PERIODO!R9</f>
        <v>0</v>
      </c>
      <c r="Q29" s="15">
        <f ca="1">SECGEN1PERIODO!S9</f>
        <v>64</v>
      </c>
    </row>
    <row r="30" spans="1:17" ht="39.75" customHeight="1" thickTop="1" thickBot="1">
      <c r="A30" s="53"/>
      <c r="B30" s="55" t="s">
        <v>60</v>
      </c>
      <c r="C30" s="7" t="s">
        <v>61</v>
      </c>
      <c r="D30" s="9">
        <f ca="1">SECGEN1PERIODO!F10</f>
        <v>99.727272727272705</v>
      </c>
      <c r="E30" s="14">
        <f ca="1">SECGEN1PERIODO!G10</f>
        <v>68</v>
      </c>
      <c r="F30" s="14">
        <f ca="1">SECGEN1PERIODO!H10</f>
        <v>85</v>
      </c>
      <c r="G30" s="14">
        <f ca="1">SECGEN1PERIODO!I10</f>
        <v>91</v>
      </c>
      <c r="H30" s="14">
        <f ca="1">SECGEN1PERIODO!J10</f>
        <v>82</v>
      </c>
      <c r="I30" s="14">
        <f ca="1">SECGEN1PERIODO!K10</f>
        <v>74</v>
      </c>
      <c r="J30" s="14">
        <f ca="1">SECGEN1PERIODO!L10</f>
        <v>68</v>
      </c>
      <c r="K30" s="14">
        <f ca="1">SECGEN1PERIODO!M10</f>
        <v>110</v>
      </c>
      <c r="L30" s="14">
        <f ca="1">SECGEN1PERIODO!N10</f>
        <v>102</v>
      </c>
      <c r="M30" s="14">
        <f ca="1">SECGEN1PERIODO!O10</f>
        <v>125</v>
      </c>
      <c r="N30" s="14">
        <f ca="1">SECGEN1PERIODO!P10</f>
        <v>178</v>
      </c>
      <c r="O30" s="14">
        <f ca="1">SECGEN1PERIODO!Q10</f>
        <v>72</v>
      </c>
      <c r="P30" s="14">
        <f ca="1">SECGEN1PERIODO!R10</f>
        <v>42</v>
      </c>
      <c r="Q30" s="15">
        <f ca="1">SECGEN1PERIODO!S10</f>
        <v>1097</v>
      </c>
    </row>
    <row r="31" spans="1:17" ht="39.75" customHeight="1" thickTop="1" thickBot="1">
      <c r="A31" s="53"/>
      <c r="B31" s="53"/>
      <c r="C31" s="7" t="s">
        <v>62</v>
      </c>
      <c r="D31" s="9">
        <f ca="1">SECGEN1PERIODO!F11</f>
        <v>87.169811320754704</v>
      </c>
      <c r="E31" s="14">
        <f ca="1">SECGEN1PERIODO!G11</f>
        <v>42</v>
      </c>
      <c r="F31" s="14">
        <f ca="1">SECGEN1PERIODO!H11</f>
        <v>58</v>
      </c>
      <c r="G31" s="14">
        <f ca="1">SECGEN1PERIODO!I11</f>
        <v>57</v>
      </c>
      <c r="H31" s="14">
        <f ca="1">SECGEN1PERIODO!J11</f>
        <v>62</v>
      </c>
      <c r="I31" s="14">
        <f ca="1">SECGEN1PERIODO!K11</f>
        <v>57</v>
      </c>
      <c r="J31" s="14">
        <f ca="1">SECGEN1PERIODO!L11</f>
        <v>35</v>
      </c>
      <c r="K31" s="14">
        <f ca="1">SECGEN1PERIODO!M11</f>
        <v>28</v>
      </c>
      <c r="L31" s="14">
        <f ca="1">SECGEN1PERIODO!N11</f>
        <v>25</v>
      </c>
      <c r="M31" s="14">
        <f ca="1">SECGEN1PERIODO!O11</f>
        <v>20</v>
      </c>
      <c r="N31" s="14">
        <f ca="1">SECGEN1PERIODO!P11</f>
        <v>28</v>
      </c>
      <c r="O31" s="14">
        <f ca="1">SECGEN1PERIODO!Q11</f>
        <v>25</v>
      </c>
      <c r="P31" s="14">
        <f ca="1">SECGEN1PERIODO!R11</f>
        <v>25</v>
      </c>
      <c r="Q31" s="15">
        <f ca="1">SECGEN1PERIODO!S11</f>
        <v>462</v>
      </c>
    </row>
    <row r="32" spans="1:17" ht="39.75" customHeight="1" thickTop="1" thickBot="1">
      <c r="A32" s="53"/>
      <c r="B32" s="53"/>
      <c r="C32" s="7" t="s">
        <v>63</v>
      </c>
      <c r="D32" s="9">
        <f ca="1">SECGEN1PERIODO!F12</f>
        <v>121.739130434782</v>
      </c>
      <c r="E32" s="14">
        <f ca="1">SECGEN1PERIODO!G12</f>
        <v>12</v>
      </c>
      <c r="F32" s="14">
        <f ca="1">SECGEN1PERIODO!H12</f>
        <v>7</v>
      </c>
      <c r="G32" s="14">
        <f ca="1">SECGEN1PERIODO!I12</f>
        <v>11</v>
      </c>
      <c r="H32" s="14">
        <f ca="1">SECGEN1PERIODO!J12</f>
        <v>9</v>
      </c>
      <c r="I32" s="14">
        <f ca="1">SECGEN1PERIODO!K12</f>
        <v>11</v>
      </c>
      <c r="J32" s="14">
        <f ca="1">SECGEN1PERIODO!L12</f>
        <v>7</v>
      </c>
      <c r="K32" s="14">
        <f ca="1">SECGEN1PERIODO!M12</f>
        <v>8</v>
      </c>
      <c r="L32" s="14">
        <f ca="1">SECGEN1PERIODO!N12</f>
        <v>9</v>
      </c>
      <c r="M32" s="14">
        <f ca="1">SECGEN1PERIODO!O12</f>
        <v>5</v>
      </c>
      <c r="N32" s="14">
        <f ca="1">SECGEN1PERIODO!P12</f>
        <v>11</v>
      </c>
      <c r="O32" s="14">
        <f ca="1">SECGEN1PERIODO!Q12</f>
        <v>11</v>
      </c>
      <c r="P32" s="14">
        <f ca="1">SECGEN1PERIODO!R12</f>
        <v>11</v>
      </c>
      <c r="Q32" s="15">
        <f ca="1">SECGEN1PERIODO!S12</f>
        <v>112</v>
      </c>
    </row>
    <row r="33" spans="1:17" ht="39.75" customHeight="1" thickTop="1" thickBot="1">
      <c r="A33" s="53"/>
      <c r="B33" s="53"/>
      <c r="C33" s="7" t="s">
        <v>64</v>
      </c>
      <c r="D33" s="9">
        <f ca="1">SECGEN1PERIODO!F13</f>
        <v>124.444444444444</v>
      </c>
      <c r="E33" s="14">
        <f ca="1">SECGEN1PERIODO!G13</f>
        <v>17</v>
      </c>
      <c r="F33" s="14">
        <f ca="1">SECGEN1PERIODO!H13</f>
        <v>23</v>
      </c>
      <c r="G33" s="14">
        <f ca="1">SECGEN1PERIODO!I13</f>
        <v>16</v>
      </c>
      <c r="H33" s="14">
        <f ca="1">SECGEN1PERIODO!J13</f>
        <v>19</v>
      </c>
      <c r="I33" s="14">
        <f ca="1">SECGEN1PERIODO!K13</f>
        <v>17</v>
      </c>
      <c r="J33" s="14">
        <f ca="1">SECGEN1PERIODO!L13</f>
        <v>18</v>
      </c>
      <c r="K33" s="14">
        <f ca="1">SECGEN1PERIODO!M13</f>
        <v>17</v>
      </c>
      <c r="L33" s="14">
        <f ca="1">SECGEN1PERIODO!N13</f>
        <v>37</v>
      </c>
      <c r="M33" s="14">
        <f ca="1">SECGEN1PERIODO!O13</f>
        <v>13</v>
      </c>
      <c r="N33" s="14">
        <f ca="1">SECGEN1PERIODO!P13</f>
        <v>33</v>
      </c>
      <c r="O33" s="14">
        <f ca="1">SECGEN1PERIODO!Q13</f>
        <v>14</v>
      </c>
      <c r="P33" s="14">
        <f ca="1">SECGEN1PERIODO!R13</f>
        <v>0</v>
      </c>
      <c r="Q33" s="15">
        <f ca="1">SECGEN1PERIODO!S13</f>
        <v>224</v>
      </c>
    </row>
    <row r="34" spans="1:17" ht="39.75" customHeight="1" thickTop="1" thickBot="1">
      <c r="A34" s="53"/>
      <c r="B34" s="53"/>
      <c r="C34" s="7" t="s">
        <v>65</v>
      </c>
      <c r="D34" s="9">
        <f ca="1">SECGEN1PERIODO!F14</f>
        <v>127.906976744186</v>
      </c>
      <c r="E34" s="14">
        <f ca="1">SECGEN1PERIODO!G14</f>
        <v>26</v>
      </c>
      <c r="F34" s="14">
        <f ca="1">SECGEN1PERIODO!H14</f>
        <v>18</v>
      </c>
      <c r="G34" s="14">
        <f ca="1">SECGEN1PERIODO!I14</f>
        <v>16</v>
      </c>
      <c r="H34" s="14">
        <f ca="1">SECGEN1PERIODO!J14</f>
        <v>18</v>
      </c>
      <c r="I34" s="14">
        <f ca="1">SECGEN1PERIODO!K14</f>
        <v>11</v>
      </c>
      <c r="J34" s="14">
        <f ca="1">SECGEN1PERIODO!L14</f>
        <v>9</v>
      </c>
      <c r="K34" s="14">
        <f ca="1">SECGEN1PERIODO!M14</f>
        <v>8</v>
      </c>
      <c r="L34" s="14">
        <f ca="1">SECGEN1PERIODO!N14</f>
        <v>9</v>
      </c>
      <c r="M34" s="14">
        <f ca="1">SECGEN1PERIODO!O14</f>
        <v>9</v>
      </c>
      <c r="N34" s="14">
        <f ca="1">SECGEN1PERIODO!P14</f>
        <v>12</v>
      </c>
      <c r="O34" s="14">
        <f ca="1">SECGEN1PERIODO!Q14</f>
        <v>18</v>
      </c>
      <c r="P34" s="14">
        <f ca="1">SECGEN1PERIODO!R14</f>
        <v>11</v>
      </c>
      <c r="Q34" s="15">
        <f ca="1">SECGEN1PERIODO!S14</f>
        <v>165</v>
      </c>
    </row>
    <row r="35" spans="1:17" ht="39.75" customHeight="1" thickTop="1" thickBot="1">
      <c r="A35" s="53"/>
      <c r="B35" s="53"/>
      <c r="C35" s="7" t="s">
        <v>52</v>
      </c>
      <c r="D35" s="9">
        <f ca="1">SECGEN1PERIODO!F15</f>
        <v>89.552238805970106</v>
      </c>
      <c r="E35" s="14">
        <f ca="1">SECGEN1PERIODO!G15</f>
        <v>2</v>
      </c>
      <c r="F35" s="14">
        <f ca="1">SECGEN1PERIODO!H15</f>
        <v>3</v>
      </c>
      <c r="G35" s="14">
        <f ca="1">SECGEN1PERIODO!I15</f>
        <v>1</v>
      </c>
      <c r="H35" s="14">
        <f ca="1">SECGEN1PERIODO!J15</f>
        <v>5</v>
      </c>
      <c r="I35" s="14">
        <f ca="1">SECGEN1PERIODO!K15</f>
        <v>5</v>
      </c>
      <c r="J35" s="14">
        <f ca="1">SECGEN1PERIODO!L15</f>
        <v>5</v>
      </c>
      <c r="K35" s="14">
        <f ca="1">SECGEN1PERIODO!M15</f>
        <v>28</v>
      </c>
      <c r="L35" s="14">
        <f ca="1">SECGEN1PERIODO!N15</f>
        <v>6</v>
      </c>
      <c r="M35" s="14">
        <f ca="1">SECGEN1PERIODO!O15</f>
        <v>4</v>
      </c>
      <c r="N35" s="14">
        <f ca="1">SECGEN1PERIODO!P15</f>
        <v>1</v>
      </c>
      <c r="O35" s="14">
        <f ca="1">SECGEN1PERIODO!Q15</f>
        <v>0</v>
      </c>
      <c r="P35" s="14">
        <f ca="1">SECGEN1PERIODO!R15</f>
        <v>0</v>
      </c>
      <c r="Q35" s="15">
        <f ca="1">SECGEN1PERIODO!S15</f>
        <v>60</v>
      </c>
    </row>
    <row r="36" spans="1:17" ht="39.75" customHeight="1" thickTop="1" thickBot="1">
      <c r="A36" s="51"/>
      <c r="B36" s="51"/>
      <c r="C36" s="7" t="s">
        <v>66</v>
      </c>
      <c r="D36" s="9">
        <f ca="1">SECGEN1PERIODO!F16</f>
        <v>161.371428571428</v>
      </c>
      <c r="E36" s="14">
        <f ca="1">SECGEN1PERIODO!G16</f>
        <v>139</v>
      </c>
      <c r="F36" s="14">
        <f ca="1">SECGEN1PERIODO!H16</f>
        <v>173</v>
      </c>
      <c r="G36" s="14">
        <f ca="1">SECGEN1PERIODO!I16</f>
        <v>175</v>
      </c>
      <c r="H36" s="14">
        <f ca="1">SECGEN1PERIODO!J16</f>
        <v>318</v>
      </c>
      <c r="I36" s="14">
        <f ca="1">SECGEN1PERIODO!K16</f>
        <v>302</v>
      </c>
      <c r="J36" s="14">
        <f ca="1">SECGEN1PERIODO!L16</f>
        <v>283</v>
      </c>
      <c r="K36" s="14">
        <f ca="1">SECGEN1PERIODO!M16</f>
        <v>2042</v>
      </c>
      <c r="L36" s="14">
        <f ca="1">SECGEN1PERIODO!N16</f>
        <v>1365</v>
      </c>
      <c r="M36" s="14">
        <f ca="1">SECGEN1PERIODO!O16</f>
        <v>1541</v>
      </c>
      <c r="N36" s="14">
        <f ca="1">SECGEN1PERIODO!P16</f>
        <v>1822</v>
      </c>
      <c r="O36" s="14">
        <f ca="1">SECGEN1PERIODO!Q16</f>
        <v>1441</v>
      </c>
      <c r="P36" s="14">
        <f ca="1">SECGEN1PERIODO!R16</f>
        <v>1695</v>
      </c>
      <c r="Q36" s="15">
        <f ca="1">SECGEN1PERIODO!S16</f>
        <v>11296</v>
      </c>
    </row>
    <row r="37" spans="1:17" ht="39.75" customHeight="1" thickTop="1" thickBot="1">
      <c r="A37" s="52" t="s">
        <v>67</v>
      </c>
      <c r="B37" s="52" t="s">
        <v>68</v>
      </c>
      <c r="C37" s="12" t="s">
        <v>69</v>
      </c>
      <c r="D37" s="9">
        <f ca="1">GAB1PERIODO!F2</f>
        <v>145.13513513513499</v>
      </c>
      <c r="E37" s="14">
        <f ca="1">GAB1PERIODO!G2</f>
        <v>100</v>
      </c>
      <c r="F37" s="14">
        <f ca="1">GAB1PERIODO!H2</f>
        <v>150</v>
      </c>
      <c r="G37" s="14">
        <f ca="1">GAB1PERIODO!I2</f>
        <v>550</v>
      </c>
      <c r="H37" s="14">
        <f ca="1">GAB1PERIODO!J2</f>
        <v>350</v>
      </c>
      <c r="I37" s="14">
        <f ca="1">GAB1PERIODO!K2</f>
        <v>420</v>
      </c>
      <c r="J37" s="14">
        <f ca="1">GAB1PERIODO!L2</f>
        <v>50</v>
      </c>
      <c r="K37" s="14">
        <f ca="1">GAB1PERIODO!M2</f>
        <v>675</v>
      </c>
      <c r="L37" s="14">
        <f ca="1">GAB1PERIODO!N2</f>
        <v>675</v>
      </c>
      <c r="M37" s="14">
        <f ca="1">GAB1PERIODO!O2</f>
        <v>400</v>
      </c>
      <c r="N37" s="14">
        <f ca="1">GAB1PERIODO!P2</f>
        <v>1100</v>
      </c>
      <c r="O37" s="14">
        <f ca="1">GAB1PERIODO!Q2</f>
        <v>580</v>
      </c>
      <c r="P37" s="14">
        <f ca="1">GAB1PERIODO!R2</f>
        <v>320</v>
      </c>
      <c r="Q37" s="15">
        <f ca="1">GAB1PERIODO!S2</f>
        <v>5370</v>
      </c>
    </row>
    <row r="38" spans="1:17" ht="39.75" customHeight="1" thickTop="1" thickBot="1">
      <c r="A38" s="53"/>
      <c r="B38" s="53"/>
      <c r="C38" s="12" t="s">
        <v>70</v>
      </c>
      <c r="D38" s="9">
        <f ca="1">GAB1PERIODO!F3</f>
        <v>106.666666666666</v>
      </c>
      <c r="E38" s="14">
        <f ca="1">GAB1PERIODO!G3</f>
        <v>5</v>
      </c>
      <c r="F38" s="14">
        <f ca="1">GAB1PERIODO!H3</f>
        <v>12</v>
      </c>
      <c r="G38" s="14">
        <f ca="1">GAB1PERIODO!I3</f>
        <v>18</v>
      </c>
      <c r="H38" s="14">
        <f ca="1">GAB1PERIODO!J3</f>
        <v>12</v>
      </c>
      <c r="I38" s="14">
        <f ca="1">GAB1PERIODO!K3</f>
        <v>17</v>
      </c>
      <c r="J38" s="14">
        <f ca="1">GAB1PERIODO!L3</f>
        <v>12</v>
      </c>
      <c r="K38" s="14">
        <f ca="1">GAB1PERIODO!M3</f>
        <v>18</v>
      </c>
      <c r="L38" s="14">
        <f ca="1">GAB1PERIODO!N3</f>
        <v>16</v>
      </c>
      <c r="M38" s="14">
        <f ca="1">GAB1PERIODO!O3</f>
        <v>18</v>
      </c>
      <c r="N38" s="14">
        <f ca="1">GAB1PERIODO!P3</f>
        <v>0</v>
      </c>
      <c r="O38" s="14">
        <f ca="1">GAB1PERIODO!Q3</f>
        <v>24</v>
      </c>
      <c r="P38" s="14">
        <f ca="1">GAB1PERIODO!R3</f>
        <v>8</v>
      </c>
      <c r="Q38" s="15">
        <f ca="1">GAB1PERIODO!S3</f>
        <v>160</v>
      </c>
    </row>
    <row r="39" spans="1:17" ht="39.75" customHeight="1" thickTop="1" thickBot="1">
      <c r="A39" s="53"/>
      <c r="B39" s="53"/>
      <c r="C39" s="12" t="s">
        <v>71</v>
      </c>
      <c r="D39" s="9">
        <f ca="1">GAB1PERIODO!F4</f>
        <v>84.210526315789394</v>
      </c>
      <c r="E39" s="14">
        <f ca="1">GAB1PERIODO!G4</f>
        <v>2</v>
      </c>
      <c r="F39" s="14">
        <f ca="1">GAB1PERIODO!H4</f>
        <v>1</v>
      </c>
      <c r="G39" s="14">
        <f ca="1">GAB1PERIODO!I4</f>
        <v>0</v>
      </c>
      <c r="H39" s="14">
        <f ca="1">GAB1PERIODO!J4</f>
        <v>3</v>
      </c>
      <c r="I39" s="14">
        <f ca="1">GAB1PERIODO!K4</f>
        <v>2</v>
      </c>
      <c r="J39" s="14">
        <f ca="1">GAB1PERIODO!L4</f>
        <v>0</v>
      </c>
      <c r="K39" s="14">
        <f ca="1">GAB1PERIODO!M4</f>
        <v>4</v>
      </c>
      <c r="L39" s="14">
        <f ca="1">GAB1PERIODO!N4</f>
        <v>2</v>
      </c>
      <c r="M39" s="14">
        <f ca="1">GAB1PERIODO!O4</f>
        <v>2</v>
      </c>
      <c r="N39" s="14">
        <f ca="1">GAB1PERIODO!P4</f>
        <v>0</v>
      </c>
      <c r="O39" s="14">
        <f ca="1">GAB1PERIODO!Q4</f>
        <v>0</v>
      </c>
      <c r="P39" s="14">
        <f ca="1">GAB1PERIODO!R4</f>
        <v>0</v>
      </c>
      <c r="Q39" s="15">
        <f ca="1">GAB1PERIODO!S4</f>
        <v>16</v>
      </c>
    </row>
    <row r="40" spans="1:17" ht="39.75" customHeight="1" thickTop="1" thickBot="1">
      <c r="A40" s="53"/>
      <c r="B40" s="53"/>
      <c r="C40" s="12" t="s">
        <v>72</v>
      </c>
      <c r="D40" s="9">
        <f ca="1">GAB1PERIODO!F5</f>
        <v>86.6666666666666</v>
      </c>
      <c r="E40" s="14">
        <f ca="1">GAB1PERIODO!G5</f>
        <v>2</v>
      </c>
      <c r="F40" s="14">
        <f ca="1">GAB1PERIODO!H5</f>
        <v>2</v>
      </c>
      <c r="G40" s="14">
        <f ca="1">GAB1PERIODO!I5</f>
        <v>3</v>
      </c>
      <c r="H40" s="14">
        <f ca="1">GAB1PERIODO!J5</f>
        <v>1</v>
      </c>
      <c r="I40" s="14">
        <f ca="1">GAB1PERIODO!K5</f>
        <v>1</v>
      </c>
      <c r="J40" s="14">
        <f ca="1">GAB1PERIODO!L5</f>
        <v>1</v>
      </c>
      <c r="K40" s="14">
        <f ca="1">GAB1PERIODO!M5</f>
        <v>1</v>
      </c>
      <c r="L40" s="14">
        <f ca="1">GAB1PERIODO!N5</f>
        <v>1</v>
      </c>
      <c r="M40" s="14">
        <f ca="1">GAB1PERIODO!O5</f>
        <v>1</v>
      </c>
      <c r="N40" s="14">
        <f ca="1">GAB1PERIODO!P5</f>
        <v>0</v>
      </c>
      <c r="O40" s="14">
        <f ca="1">GAB1PERIODO!Q5</f>
        <v>0</v>
      </c>
      <c r="P40" s="14">
        <f ca="1">GAB1PERIODO!R5</f>
        <v>0</v>
      </c>
      <c r="Q40" s="15">
        <f ca="1">GAB1PERIODO!S5</f>
        <v>13</v>
      </c>
    </row>
    <row r="41" spans="1:17" ht="39.75" customHeight="1" thickTop="1" thickBot="1">
      <c r="A41" s="53"/>
      <c r="B41" s="51"/>
      <c r="C41" s="12" t="s">
        <v>73</v>
      </c>
      <c r="D41" s="9">
        <f ca="1">GAB1PERIODO!F6</f>
        <v>92.105263157894697</v>
      </c>
      <c r="E41" s="14">
        <f ca="1">GAB1PERIODO!G6</f>
        <v>5</v>
      </c>
      <c r="F41" s="14">
        <f ca="1">GAB1PERIODO!H6</f>
        <v>5</v>
      </c>
      <c r="G41" s="14">
        <f ca="1">GAB1PERIODO!I6</f>
        <v>2</v>
      </c>
      <c r="H41" s="14">
        <f ca="1">GAB1PERIODO!J6</f>
        <v>3</v>
      </c>
      <c r="I41" s="14">
        <f ca="1">GAB1PERIODO!K6</f>
        <v>2</v>
      </c>
      <c r="J41" s="14">
        <f ca="1">GAB1PERIODO!L6</f>
        <v>4</v>
      </c>
      <c r="K41" s="14">
        <f ca="1">GAB1PERIODO!M6</f>
        <v>5</v>
      </c>
      <c r="L41" s="14">
        <f ca="1">GAB1PERIODO!N6</f>
        <v>4</v>
      </c>
      <c r="M41" s="14">
        <f ca="1">GAB1PERIODO!O6</f>
        <v>5</v>
      </c>
      <c r="N41" s="14">
        <f ca="1">GAB1PERIODO!P6</f>
        <v>0</v>
      </c>
      <c r="O41" s="14">
        <f ca="1">GAB1PERIODO!Q6</f>
        <v>0</v>
      </c>
      <c r="P41" s="14">
        <f ca="1">GAB1PERIODO!R6</f>
        <v>0</v>
      </c>
      <c r="Q41" s="15">
        <f ca="1">GAB1PERIODO!S6</f>
        <v>35</v>
      </c>
    </row>
    <row r="42" spans="1:17" ht="39.75" customHeight="1" thickTop="1" thickBot="1">
      <c r="A42" s="53"/>
      <c r="B42" s="52" t="s">
        <v>74</v>
      </c>
      <c r="C42" s="12" t="s">
        <v>75</v>
      </c>
      <c r="D42" s="9">
        <f ca="1">GAB1PERIODO!F7</f>
        <v>169.230769230769</v>
      </c>
      <c r="E42" s="14">
        <f ca="1">GAB1PERIODO!G7</f>
        <v>1</v>
      </c>
      <c r="F42" s="14">
        <f ca="1">GAB1PERIODO!H7</f>
        <v>1</v>
      </c>
      <c r="G42" s="14">
        <f ca="1">GAB1PERIODO!I7</f>
        <v>1</v>
      </c>
      <c r="H42" s="14">
        <f ca="1">GAB1PERIODO!J7</f>
        <v>2</v>
      </c>
      <c r="I42" s="14">
        <f ca="1">GAB1PERIODO!K7</f>
        <v>1</v>
      </c>
      <c r="J42" s="14">
        <f ca="1">GAB1PERIODO!L7</f>
        <v>1</v>
      </c>
      <c r="K42" s="14">
        <f ca="1">GAB1PERIODO!M7</f>
        <v>2</v>
      </c>
      <c r="L42" s="14">
        <f ca="1">GAB1PERIODO!N7</f>
        <v>2</v>
      </c>
      <c r="M42" s="14">
        <f ca="1">GAB1PERIODO!O7</f>
        <v>1</v>
      </c>
      <c r="N42" s="14">
        <f ca="1">GAB1PERIODO!P7</f>
        <v>4</v>
      </c>
      <c r="O42" s="14">
        <f ca="1">GAB1PERIODO!Q7</f>
        <v>2</v>
      </c>
      <c r="P42" s="14">
        <f ca="1">GAB1PERIODO!R7</f>
        <v>4</v>
      </c>
      <c r="Q42" s="15">
        <f ca="1">GAB1PERIODO!S7</f>
        <v>22</v>
      </c>
    </row>
    <row r="43" spans="1:17" ht="39.75" customHeight="1" thickTop="1" thickBot="1">
      <c r="A43" s="53"/>
      <c r="B43" s="53"/>
      <c r="C43" s="12" t="s">
        <v>76</v>
      </c>
      <c r="D43" s="9">
        <f ca="1">GAB1PERIODO!F8</f>
        <v>121.428571428571</v>
      </c>
      <c r="E43" s="14">
        <f ca="1">GAB1PERIODO!G8</f>
        <v>1</v>
      </c>
      <c r="F43" s="14">
        <f ca="1">GAB1PERIODO!H8</f>
        <v>1</v>
      </c>
      <c r="G43" s="14">
        <f ca="1">GAB1PERIODO!I8</f>
        <v>1</v>
      </c>
      <c r="H43" s="14">
        <f ca="1">GAB1PERIODO!J8</f>
        <v>2</v>
      </c>
      <c r="I43" s="14">
        <f ca="1">GAB1PERIODO!K8</f>
        <v>2</v>
      </c>
      <c r="J43" s="14">
        <f ca="1">GAB1PERIODO!L8</f>
        <v>1</v>
      </c>
      <c r="K43" s="14">
        <f ca="1">GAB1PERIODO!M8</f>
        <v>1</v>
      </c>
      <c r="L43" s="14">
        <f ca="1">GAB1PERIODO!N8</f>
        <v>2</v>
      </c>
      <c r="M43" s="14">
        <f ca="1">GAB1PERIODO!O8</f>
        <v>1</v>
      </c>
      <c r="N43" s="14">
        <f ca="1">GAB1PERIODO!P8</f>
        <v>2</v>
      </c>
      <c r="O43" s="14">
        <f ca="1">GAB1PERIODO!Q8</f>
        <v>1</v>
      </c>
      <c r="P43" s="14">
        <f ca="1">GAB1PERIODO!R8</f>
        <v>2</v>
      </c>
      <c r="Q43" s="15">
        <f ca="1">GAB1PERIODO!S8</f>
        <v>17</v>
      </c>
    </row>
    <row r="44" spans="1:17" ht="39.75" customHeight="1" thickTop="1" thickBot="1">
      <c r="A44" s="53"/>
      <c r="B44" s="51"/>
      <c r="C44" s="12" t="s">
        <v>77</v>
      </c>
      <c r="D44" s="9">
        <f ca="1">GAB1PERIODO!F9</f>
        <v>126.666666666666</v>
      </c>
      <c r="E44" s="14">
        <f ca="1">GAB1PERIODO!G9</f>
        <v>2</v>
      </c>
      <c r="F44" s="14">
        <f ca="1">GAB1PERIODO!H9</f>
        <v>2</v>
      </c>
      <c r="G44" s="14">
        <f ca="1">GAB1PERIODO!I9</f>
        <v>1</v>
      </c>
      <c r="H44" s="14">
        <f ca="1">GAB1PERIODO!J9</f>
        <v>3</v>
      </c>
      <c r="I44" s="14">
        <f ca="1">GAB1PERIODO!K9</f>
        <v>1</v>
      </c>
      <c r="J44" s="14">
        <f ca="1">GAB1PERIODO!L9</f>
        <v>1</v>
      </c>
      <c r="K44" s="14">
        <f ca="1">GAB1PERIODO!M9</f>
        <v>2</v>
      </c>
      <c r="L44" s="14">
        <f ca="1">GAB1PERIODO!N9</f>
        <v>1</v>
      </c>
      <c r="M44" s="14">
        <f ca="1">GAB1PERIODO!O9</f>
        <v>1</v>
      </c>
      <c r="N44" s="14">
        <f ca="1">GAB1PERIODO!P9</f>
        <v>2</v>
      </c>
      <c r="O44" s="14">
        <f ca="1">GAB1PERIODO!Q9</f>
        <v>1</v>
      </c>
      <c r="P44" s="14">
        <f ca="1">GAB1PERIODO!R9</f>
        <v>2</v>
      </c>
      <c r="Q44" s="15">
        <f ca="1">GAB1PERIODO!S9</f>
        <v>19</v>
      </c>
    </row>
    <row r="45" spans="1:17" ht="39.75" customHeight="1" thickTop="1" thickBot="1">
      <c r="A45" s="53"/>
      <c r="B45" s="52" t="s">
        <v>78</v>
      </c>
      <c r="C45" s="12" t="s">
        <v>79</v>
      </c>
      <c r="D45" s="9">
        <f ca="1">GAB1PERIODO!F10</f>
        <v>140.625</v>
      </c>
      <c r="E45" s="14">
        <f ca="1">GAB1PERIODO!G10</f>
        <v>3</v>
      </c>
      <c r="F45" s="14">
        <f ca="1">GAB1PERIODO!H10</f>
        <v>1</v>
      </c>
      <c r="G45" s="14">
        <f ca="1">GAB1PERIODO!I10</f>
        <v>1</v>
      </c>
      <c r="H45" s="14">
        <f ca="1">GAB1PERIODO!J10</f>
        <v>4</v>
      </c>
      <c r="I45" s="14">
        <f ca="1">GAB1PERIODO!K10</f>
        <v>5</v>
      </c>
      <c r="J45" s="14">
        <f ca="1">GAB1PERIODO!L10</f>
        <v>4</v>
      </c>
      <c r="K45" s="14">
        <f ca="1">GAB1PERIODO!M10</f>
        <v>3</v>
      </c>
      <c r="L45" s="14">
        <f ca="1">GAB1PERIODO!N10</f>
        <v>3</v>
      </c>
      <c r="M45" s="14">
        <f ca="1">GAB1PERIODO!O10</f>
        <v>4</v>
      </c>
      <c r="N45" s="14">
        <f ca="1">GAB1PERIODO!P10</f>
        <v>5</v>
      </c>
      <c r="O45" s="14">
        <f ca="1">GAB1PERIODO!Q10</f>
        <v>8</v>
      </c>
      <c r="P45" s="14">
        <f ca="1">GAB1PERIODO!R10</f>
        <v>4</v>
      </c>
      <c r="Q45" s="15">
        <f ca="1">GAB1PERIODO!S10</f>
        <v>45</v>
      </c>
    </row>
    <row r="46" spans="1:17" ht="39.75" customHeight="1" thickTop="1" thickBot="1">
      <c r="A46" s="53"/>
      <c r="B46" s="53"/>
      <c r="C46" s="12" t="s">
        <v>80</v>
      </c>
      <c r="D46" s="9">
        <f ca="1">GAB1PERIODO!F11</f>
        <v>133.333333333333</v>
      </c>
      <c r="E46" s="14">
        <f ca="1">GAB1PERIODO!G11</f>
        <v>1</v>
      </c>
      <c r="F46" s="14">
        <f ca="1">GAB1PERIODO!H11</f>
        <v>3</v>
      </c>
      <c r="G46" s="14">
        <f ca="1">GAB1PERIODO!I11</f>
        <v>1</v>
      </c>
      <c r="H46" s="14">
        <f ca="1">GAB1PERIODO!J11</f>
        <v>2</v>
      </c>
      <c r="I46" s="14">
        <f ca="1">GAB1PERIODO!K11</f>
        <v>4</v>
      </c>
      <c r="J46" s="14">
        <f ca="1">GAB1PERIODO!L11</f>
        <v>2</v>
      </c>
      <c r="K46" s="14">
        <f ca="1">GAB1PERIODO!M11</f>
        <v>2</v>
      </c>
      <c r="L46" s="14">
        <f ca="1">GAB1PERIODO!N11</f>
        <v>2</v>
      </c>
      <c r="M46" s="14">
        <f ca="1">GAB1PERIODO!O11</f>
        <v>3</v>
      </c>
      <c r="N46" s="14">
        <f ca="1">GAB1PERIODO!P11</f>
        <v>3</v>
      </c>
      <c r="O46" s="14">
        <f ca="1">GAB1PERIODO!Q11</f>
        <v>2</v>
      </c>
      <c r="P46" s="14">
        <f ca="1">GAB1PERIODO!R11</f>
        <v>3</v>
      </c>
      <c r="Q46" s="15">
        <f ca="1">GAB1PERIODO!S11</f>
        <v>28</v>
      </c>
    </row>
    <row r="47" spans="1:17" ht="39.75" customHeight="1" thickTop="1" thickBot="1">
      <c r="A47" s="53"/>
      <c r="B47" s="53"/>
      <c r="C47" s="12" t="s">
        <v>77</v>
      </c>
      <c r="D47" s="9">
        <f ca="1">GAB1PERIODO!F12</f>
        <v>126.530612244897</v>
      </c>
      <c r="E47" s="14">
        <f ca="1">GAB1PERIODO!G12</f>
        <v>5</v>
      </c>
      <c r="F47" s="14">
        <f ca="1">GAB1PERIODO!H12</f>
        <v>4</v>
      </c>
      <c r="G47" s="14">
        <f ca="1">GAB1PERIODO!I12</f>
        <v>4</v>
      </c>
      <c r="H47" s="14">
        <f ca="1">GAB1PERIODO!J12</f>
        <v>9</v>
      </c>
      <c r="I47" s="14">
        <f ca="1">GAB1PERIODO!K12</f>
        <v>6</v>
      </c>
      <c r="J47" s="14">
        <f ca="1">GAB1PERIODO!L12</f>
        <v>4</v>
      </c>
      <c r="K47" s="14">
        <f ca="1">GAB1PERIODO!M12</f>
        <v>5</v>
      </c>
      <c r="L47" s="14">
        <f ca="1">GAB1PERIODO!N12</f>
        <v>6</v>
      </c>
      <c r="M47" s="14">
        <f ca="1">GAB1PERIODO!O12</f>
        <v>2</v>
      </c>
      <c r="N47" s="14">
        <f ca="1">GAB1PERIODO!P12</f>
        <v>5</v>
      </c>
      <c r="O47" s="14">
        <f ca="1">GAB1PERIODO!Q12</f>
        <v>7</v>
      </c>
      <c r="P47" s="14">
        <f ca="1">GAB1PERIODO!R12</f>
        <v>5</v>
      </c>
      <c r="Q47" s="15">
        <f ca="1">GAB1PERIODO!S12</f>
        <v>62</v>
      </c>
    </row>
    <row r="48" spans="1:17" ht="39.75" customHeight="1" thickTop="1" thickBot="1">
      <c r="A48" s="53"/>
      <c r="B48" s="53"/>
      <c r="C48" s="12" t="s">
        <v>81</v>
      </c>
      <c r="D48" s="9">
        <f ca="1">GAB1PERIODO!F13</f>
        <v>101.212121212121</v>
      </c>
      <c r="E48" s="14">
        <f ca="1">GAB1PERIODO!G13</f>
        <v>30</v>
      </c>
      <c r="F48" s="14">
        <f ca="1">GAB1PERIODO!H13</f>
        <v>15</v>
      </c>
      <c r="G48" s="14">
        <f ca="1">GAB1PERIODO!I13</f>
        <v>10</v>
      </c>
      <c r="H48" s="14">
        <f ca="1">GAB1PERIODO!J13</f>
        <v>22</v>
      </c>
      <c r="I48" s="14">
        <f ca="1">GAB1PERIODO!K13</f>
        <v>22</v>
      </c>
      <c r="J48" s="14">
        <f ca="1">GAB1PERIODO!L13</f>
        <v>10</v>
      </c>
      <c r="K48" s="14">
        <f ca="1">GAB1PERIODO!M13</f>
        <v>15</v>
      </c>
      <c r="L48" s="14">
        <f ca="1">GAB1PERIODO!N13</f>
        <v>17</v>
      </c>
      <c r="M48" s="14">
        <f ca="1">GAB1PERIODO!O13</f>
        <v>6</v>
      </c>
      <c r="N48" s="14">
        <f ca="1">GAB1PERIODO!P13</f>
        <v>10</v>
      </c>
      <c r="O48" s="14">
        <f ca="1">GAB1PERIODO!Q13</f>
        <v>10</v>
      </c>
      <c r="P48" s="14">
        <f ca="1">GAB1PERIODO!R13</f>
        <v>0</v>
      </c>
      <c r="Q48" s="15">
        <f ca="1">GAB1PERIODO!S13</f>
        <v>167</v>
      </c>
    </row>
    <row r="49" spans="1:17" ht="39.75" customHeight="1" thickTop="1" thickBot="1">
      <c r="A49" s="53"/>
      <c r="B49" s="51"/>
      <c r="C49" s="12" t="s">
        <v>82</v>
      </c>
      <c r="D49" s="9">
        <f ca="1">GAB1PERIODO!F14</f>
        <v>125</v>
      </c>
      <c r="E49" s="14">
        <f ca="1">GAB1PERIODO!G14</f>
        <v>2</v>
      </c>
      <c r="F49" s="14">
        <f ca="1">GAB1PERIODO!H14</f>
        <v>1</v>
      </c>
      <c r="G49" s="14">
        <f ca="1">GAB1PERIODO!I14</f>
        <v>1</v>
      </c>
      <c r="H49" s="14">
        <f ca="1">GAB1PERIODO!J14</f>
        <v>2</v>
      </c>
      <c r="I49" s="14">
        <f ca="1">GAB1PERIODO!K14</f>
        <v>3</v>
      </c>
      <c r="J49" s="14">
        <f ca="1">GAB1PERIODO!L14</f>
        <v>4</v>
      </c>
      <c r="K49" s="14">
        <f ca="1">GAB1PERIODO!M14</f>
        <v>2</v>
      </c>
      <c r="L49" s="14">
        <f ca="1">GAB1PERIODO!N14</f>
        <v>2</v>
      </c>
      <c r="M49" s="14">
        <f ca="1">GAB1PERIODO!O14</f>
        <v>2</v>
      </c>
      <c r="N49" s="14">
        <f ca="1">GAB1PERIODO!P14</f>
        <v>2</v>
      </c>
      <c r="O49" s="14">
        <f ca="1">GAB1PERIODO!Q14</f>
        <v>1</v>
      </c>
      <c r="P49" s="14">
        <f ca="1">GAB1PERIODO!R14</f>
        <v>3</v>
      </c>
      <c r="Q49" s="15">
        <f ca="1">GAB1PERIODO!S14</f>
        <v>25</v>
      </c>
    </row>
    <row r="50" spans="1:17" ht="39.75" customHeight="1" thickTop="1" thickBot="1">
      <c r="A50" s="53"/>
      <c r="B50" s="52" t="s">
        <v>83</v>
      </c>
      <c r="C50" s="12" t="s">
        <v>84</v>
      </c>
      <c r="D50" s="9">
        <f ca="1">GAB1PERIODO!F15</f>
        <v>81.25</v>
      </c>
      <c r="E50" s="14">
        <f ca="1">GAB1PERIODO!G15</f>
        <v>1</v>
      </c>
      <c r="F50" s="14">
        <f ca="1">GAB1PERIODO!H15</f>
        <v>2</v>
      </c>
      <c r="G50" s="14">
        <f ca="1">GAB1PERIODO!I15</f>
        <v>2</v>
      </c>
      <c r="H50" s="14">
        <f ca="1">GAB1PERIODO!J15</f>
        <v>1</v>
      </c>
      <c r="I50" s="14">
        <f ca="1">GAB1PERIODO!K15</f>
        <v>2</v>
      </c>
      <c r="J50" s="14">
        <f ca="1">GAB1PERIODO!L15</f>
        <v>1</v>
      </c>
      <c r="K50" s="14">
        <f ca="1">GAB1PERIODO!M15</f>
        <v>1</v>
      </c>
      <c r="L50" s="14">
        <f ca="1">GAB1PERIODO!N15</f>
        <v>1</v>
      </c>
      <c r="M50" s="14">
        <f ca="1">GAB1PERIODO!O15</f>
        <v>2</v>
      </c>
      <c r="N50" s="14">
        <f ca="1">GAB1PERIODO!P15</f>
        <v>0</v>
      </c>
      <c r="O50" s="14">
        <f ca="1">GAB1PERIODO!Q15</f>
        <v>0</v>
      </c>
      <c r="P50" s="14">
        <f ca="1">GAB1PERIODO!R15</f>
        <v>0</v>
      </c>
      <c r="Q50" s="15">
        <f ca="1">GAB1PERIODO!S15</f>
        <v>13</v>
      </c>
    </row>
    <row r="51" spans="1:17" ht="39.75" customHeight="1" thickTop="1" thickBot="1">
      <c r="A51" s="53"/>
      <c r="B51" s="53"/>
      <c r="C51" s="12" t="s">
        <v>72</v>
      </c>
      <c r="D51" s="9">
        <f ca="1">GAB1PERIODO!F16</f>
        <v>82.608695652173907</v>
      </c>
      <c r="E51" s="14">
        <f ca="1">GAB1PERIODO!G16</f>
        <v>3</v>
      </c>
      <c r="F51" s="14">
        <f ca="1">GAB1PERIODO!H16</f>
        <v>2</v>
      </c>
      <c r="G51" s="14">
        <f ca="1">GAB1PERIODO!I16</f>
        <v>3</v>
      </c>
      <c r="H51" s="14">
        <f ca="1">GAB1PERIODO!J16</f>
        <v>1</v>
      </c>
      <c r="I51" s="14">
        <f ca="1">GAB1PERIODO!K16</f>
        <v>3</v>
      </c>
      <c r="J51" s="14">
        <f ca="1">GAB1PERIODO!L16</f>
        <v>1</v>
      </c>
      <c r="K51" s="14">
        <f ca="1">GAB1PERIODO!M16</f>
        <v>2</v>
      </c>
      <c r="L51" s="14">
        <f ca="1">GAB1PERIODO!N16</f>
        <v>1</v>
      </c>
      <c r="M51" s="14">
        <f ca="1">GAB1PERIODO!O16</f>
        <v>3</v>
      </c>
      <c r="N51" s="14">
        <f ca="1">GAB1PERIODO!P16</f>
        <v>0</v>
      </c>
      <c r="O51" s="14">
        <f ca="1">GAB1PERIODO!Q16</f>
        <v>0</v>
      </c>
      <c r="P51" s="14">
        <f ca="1">GAB1PERIODO!R16</f>
        <v>0</v>
      </c>
      <c r="Q51" s="15">
        <f ca="1">GAB1PERIODO!S16</f>
        <v>19</v>
      </c>
    </row>
    <row r="52" spans="1:17" ht="39.75" customHeight="1" thickTop="1" thickBot="1">
      <c r="A52" s="51"/>
      <c r="B52" s="51"/>
      <c r="C52" s="12" t="s">
        <v>85</v>
      </c>
      <c r="D52" s="9">
        <f ca="1">GAB1PERIODO!F17</f>
        <v>94.117647058823493</v>
      </c>
      <c r="E52" s="14">
        <f ca="1">GAB1PERIODO!G17</f>
        <v>2</v>
      </c>
      <c r="F52" s="14">
        <f ca="1">GAB1PERIODO!H17</f>
        <v>1</v>
      </c>
      <c r="G52" s="14">
        <f ca="1">GAB1PERIODO!I17</f>
        <v>2</v>
      </c>
      <c r="H52" s="14">
        <f ca="1">GAB1PERIODO!J17</f>
        <v>1</v>
      </c>
      <c r="I52" s="14">
        <f ca="1">GAB1PERIODO!K17</f>
        <v>2</v>
      </c>
      <c r="J52" s="14">
        <f ca="1">GAB1PERIODO!L17</f>
        <v>2</v>
      </c>
      <c r="K52" s="14">
        <f ca="1">GAB1PERIODO!M17</f>
        <v>2</v>
      </c>
      <c r="L52" s="14">
        <f ca="1">GAB1PERIODO!N17</f>
        <v>3</v>
      </c>
      <c r="M52" s="14">
        <f ca="1">GAB1PERIODO!O17</f>
        <v>1</v>
      </c>
      <c r="N52" s="14">
        <f ca="1">GAB1PERIODO!P17</f>
        <v>0</v>
      </c>
      <c r="O52" s="14">
        <f ca="1">GAB1PERIODO!Q17</f>
        <v>0</v>
      </c>
      <c r="P52" s="14">
        <f ca="1">GAB1PERIODO!R17</f>
        <v>0</v>
      </c>
      <c r="Q52" s="15">
        <f ca="1">GAB1PERIODO!S17</f>
        <v>16</v>
      </c>
    </row>
    <row r="53" spans="1:17" ht="39.75" customHeight="1" thickTop="1" thickBot="1">
      <c r="A53" s="55" t="s">
        <v>86</v>
      </c>
      <c r="B53" s="55" t="s">
        <v>87</v>
      </c>
      <c r="C53" s="7" t="s">
        <v>88</v>
      </c>
      <c r="D53" s="18">
        <f ca="1">TESORERIA1PERIODO!F2</f>
        <v>43.5416666666666</v>
      </c>
      <c r="E53" s="19">
        <f ca="1">TESORERIA1PERIODO!G2</f>
        <v>116</v>
      </c>
      <c r="F53" s="19">
        <f ca="1">TESORERIA1PERIODO!H2</f>
        <v>132</v>
      </c>
      <c r="G53" s="19">
        <f ca="1">TESORERIA1PERIODO!I2</f>
        <v>87</v>
      </c>
      <c r="H53" s="19">
        <f ca="1">TESORERIA1PERIODO!J2</f>
        <v>0</v>
      </c>
      <c r="I53" s="19">
        <f ca="1">TESORERIA1PERIODO!K2</f>
        <v>0</v>
      </c>
      <c r="J53" s="19">
        <f ca="1">TESORERIA1PERIODO!L2</f>
        <v>0</v>
      </c>
      <c r="K53" s="19">
        <f ca="1">TESORERIA1PERIODO!M2</f>
        <v>223</v>
      </c>
      <c r="L53" s="19">
        <f ca="1">TESORERIA1PERIODO!N2</f>
        <v>245</v>
      </c>
      <c r="M53" s="19">
        <f ca="1">TESORERIA1PERIODO!O2</f>
        <v>242</v>
      </c>
      <c r="N53" s="19">
        <f ca="1">TESORERIA1PERIODO!P2</f>
        <v>0</v>
      </c>
      <c r="O53" s="19">
        <f ca="1">TESORERIA1PERIODO!Q2</f>
        <v>0</v>
      </c>
      <c r="P53" s="19">
        <f ca="1">TESORERIA1PERIODO!R2</f>
        <v>0</v>
      </c>
      <c r="Q53" s="20" t="s">
        <v>89</v>
      </c>
    </row>
    <row r="54" spans="1:17" ht="39.75" customHeight="1" thickTop="1" thickBot="1">
      <c r="A54" s="53"/>
      <c r="B54" s="53"/>
      <c r="C54" s="7" t="s">
        <v>90</v>
      </c>
      <c r="D54" s="18">
        <f ca="1">TESORERIA1PERIODO!F3</f>
        <v>10533.916666666601</v>
      </c>
      <c r="E54" s="19">
        <f ca="1">TESORERIA1PERIODO!G3</f>
        <v>125870</v>
      </c>
      <c r="F54" s="19">
        <f ca="1">TESORERIA1PERIODO!H3</f>
        <v>89</v>
      </c>
      <c r="G54" s="19">
        <f ca="1">TESORERIA1PERIODO!I3</f>
        <v>89</v>
      </c>
      <c r="H54" s="19">
        <f ca="1">TESORERIA1PERIODO!J3</f>
        <v>0</v>
      </c>
      <c r="I54" s="19">
        <f ca="1">TESORERIA1PERIODO!K3</f>
        <v>0</v>
      </c>
      <c r="J54" s="19">
        <f ca="1">TESORERIA1PERIODO!L3</f>
        <v>0</v>
      </c>
      <c r="K54" s="19">
        <f ca="1">TESORERIA1PERIODO!M3</f>
        <v>104</v>
      </c>
      <c r="L54" s="19">
        <f ca="1">TESORERIA1PERIODO!N3</f>
        <v>130</v>
      </c>
      <c r="M54" s="19">
        <f ca="1">TESORERIA1PERIODO!O3</f>
        <v>125</v>
      </c>
      <c r="N54" s="19">
        <f ca="1">TESORERIA1PERIODO!P3</f>
        <v>0</v>
      </c>
      <c r="O54" s="19">
        <f ca="1">TESORERIA1PERIODO!Q3</f>
        <v>0</v>
      </c>
      <c r="P54" s="19">
        <f ca="1">TESORERIA1PERIODO!R3</f>
        <v>0</v>
      </c>
      <c r="Q54" s="21">
        <f ca="1">TESORERIA1PERIODO!S3</f>
        <v>126407</v>
      </c>
    </row>
    <row r="55" spans="1:17" ht="39.75" customHeight="1" thickTop="1" thickBot="1">
      <c r="A55" s="53"/>
      <c r="B55" s="53"/>
      <c r="C55" s="7" t="s">
        <v>91</v>
      </c>
      <c r="D55" s="18">
        <f ca="1">TESORERIA1PERIODO!F4</f>
        <v>44.033333333333303</v>
      </c>
      <c r="E55" s="19">
        <f ca="1">TESORERIA1PERIODO!G4</f>
        <v>174</v>
      </c>
      <c r="F55" s="19">
        <f ca="1">TESORERIA1PERIODO!H4</f>
        <v>305</v>
      </c>
      <c r="G55" s="19">
        <f ca="1">TESORERIA1PERIODO!I4</f>
        <v>0</v>
      </c>
      <c r="H55" s="19">
        <f ca="1">TESORERIA1PERIODO!J4</f>
        <v>0</v>
      </c>
      <c r="I55" s="19">
        <f ca="1">TESORERIA1PERIODO!K4</f>
        <v>0</v>
      </c>
      <c r="J55" s="19">
        <f ca="1">TESORERIA1PERIODO!L4</f>
        <v>0</v>
      </c>
      <c r="K55" s="19">
        <f ca="1">TESORERIA1PERIODO!M4</f>
        <v>221</v>
      </c>
      <c r="L55" s="19">
        <f ca="1">TESORERIA1PERIODO!N4</f>
        <v>319</v>
      </c>
      <c r="M55" s="19">
        <f ca="1">TESORERIA1PERIODO!O4</f>
        <v>302</v>
      </c>
      <c r="N55" s="19">
        <f ca="1">TESORERIA1PERIODO!P4</f>
        <v>0</v>
      </c>
      <c r="O55" s="19">
        <f ca="1">TESORERIA1PERIODO!Q4</f>
        <v>0</v>
      </c>
      <c r="P55" s="19">
        <f ca="1">TESORERIA1PERIODO!R4</f>
        <v>0</v>
      </c>
      <c r="Q55" s="21">
        <f ca="1">TESORERIA1PERIODO!S4</f>
        <v>1321</v>
      </c>
    </row>
    <row r="56" spans="1:17" ht="39.75" customHeight="1" thickTop="1" thickBot="1">
      <c r="A56" s="53"/>
      <c r="B56" s="51"/>
      <c r="C56" s="7" t="s">
        <v>92</v>
      </c>
      <c r="D56" s="18">
        <f ca="1">TESORERIA1PERIODO!F5</f>
        <v>84.022522522522493</v>
      </c>
      <c r="E56" s="19">
        <f ca="1">TESORERIA1PERIODO!G5</f>
        <v>9068</v>
      </c>
      <c r="F56" s="19">
        <f ca="1">TESORERIA1PERIODO!H5</f>
        <v>11160</v>
      </c>
      <c r="G56" s="19">
        <f ca="1">TESORERIA1PERIODO!I5</f>
        <v>5910</v>
      </c>
      <c r="H56" s="19">
        <f ca="1">TESORERIA1PERIODO!J5</f>
        <v>0</v>
      </c>
      <c r="I56" s="19">
        <f ca="1">TESORERIA1PERIODO!K5</f>
        <v>0</v>
      </c>
      <c r="J56" s="19">
        <f ca="1">TESORERIA1PERIODO!L5</f>
        <v>0</v>
      </c>
      <c r="K56" s="19">
        <f ca="1">TESORERIA1PERIODO!M5</f>
        <v>3709</v>
      </c>
      <c r="L56" s="19">
        <f ca="1">TESORERIA1PERIODO!N5</f>
        <v>3906</v>
      </c>
      <c r="M56" s="19">
        <f ca="1">TESORERIA1PERIODO!O5</f>
        <v>3553</v>
      </c>
      <c r="N56" s="19">
        <f ca="1">TESORERIA1PERIODO!P5</f>
        <v>0</v>
      </c>
      <c r="O56" s="19">
        <f ca="1">TESORERIA1PERIODO!Q5</f>
        <v>0</v>
      </c>
      <c r="P56" s="19">
        <f ca="1">TESORERIA1PERIODO!R5</f>
        <v>0</v>
      </c>
      <c r="Q56" s="21">
        <f ca="1">TESORERIA1PERIODO!S5</f>
        <v>37306</v>
      </c>
    </row>
    <row r="57" spans="1:17" ht="39.75" customHeight="1" thickTop="1" thickBot="1">
      <c r="A57" s="53"/>
      <c r="B57" s="50" t="s">
        <v>93</v>
      </c>
      <c r="C57" s="7" t="s">
        <v>94</v>
      </c>
      <c r="D57" s="18">
        <f ca="1">TESORERIA1PERIODO!F6</f>
        <v>600</v>
      </c>
      <c r="E57" s="19">
        <f ca="1">TESORERIA1PERIODO!G6</f>
        <v>1</v>
      </c>
      <c r="F57" s="19">
        <f ca="1">TESORERIA1PERIODO!H6</f>
        <v>1</v>
      </c>
      <c r="G57" s="19">
        <f ca="1">TESORERIA1PERIODO!I6</f>
        <v>4</v>
      </c>
      <c r="H57" s="19">
        <f ca="1">TESORERIA1PERIODO!J6</f>
        <v>0</v>
      </c>
      <c r="I57" s="19">
        <f ca="1">TESORERIA1PERIODO!K6</f>
        <v>0</v>
      </c>
      <c r="J57" s="19">
        <f ca="1">TESORERIA1PERIODO!L6</f>
        <v>0</v>
      </c>
      <c r="K57" s="19">
        <f ca="1">TESORERIA1PERIODO!M6</f>
        <v>0</v>
      </c>
      <c r="L57" s="19">
        <f ca="1">TESORERIA1PERIODO!N6</f>
        <v>0</v>
      </c>
      <c r="M57" s="19">
        <f ca="1">TESORERIA1PERIODO!O6</f>
        <v>0</v>
      </c>
      <c r="N57" s="19">
        <f ca="1">TESORERIA1PERIODO!P6</f>
        <v>0</v>
      </c>
      <c r="O57" s="19">
        <f ca="1">TESORERIA1PERIODO!Q6</f>
        <v>0</v>
      </c>
      <c r="P57" s="19">
        <f ca="1">TESORERIA1PERIODO!R6</f>
        <v>0</v>
      </c>
      <c r="Q57" s="21">
        <f ca="1">TESORERIA1PERIODO!S6</f>
        <v>6</v>
      </c>
    </row>
    <row r="58" spans="1:17" ht="39.75" customHeight="1" thickTop="1" thickBot="1">
      <c r="A58" s="53"/>
      <c r="B58" s="53"/>
      <c r="C58" s="22" t="s">
        <v>95</v>
      </c>
      <c r="D58" s="18">
        <f ca="1">TESORERIA1PERIODO!F7</f>
        <v>60</v>
      </c>
      <c r="E58" s="19">
        <f ca="1">TESORERIA1PERIODO!G7</f>
        <v>0</v>
      </c>
      <c r="F58" s="19">
        <f ca="1">TESORERIA1PERIODO!H7</f>
        <v>0</v>
      </c>
      <c r="G58" s="19">
        <f ca="1">TESORERIA1PERIODO!I7</f>
        <v>0</v>
      </c>
      <c r="H58" s="19">
        <f ca="1">TESORERIA1PERIODO!J7</f>
        <v>0</v>
      </c>
      <c r="I58" s="19">
        <f ca="1">TESORERIA1PERIODO!K7</f>
        <v>0</v>
      </c>
      <c r="J58" s="19">
        <f ca="1">TESORERIA1PERIODO!L7</f>
        <v>0</v>
      </c>
      <c r="K58" s="19">
        <f ca="1">TESORERIA1PERIODO!M7</f>
        <v>2</v>
      </c>
      <c r="L58" s="19">
        <f ca="1">TESORERIA1PERIODO!N7</f>
        <v>2</v>
      </c>
      <c r="M58" s="19">
        <f ca="1">TESORERIA1PERIODO!O7</f>
        <v>2</v>
      </c>
      <c r="N58" s="19">
        <f ca="1">TESORERIA1PERIODO!P7</f>
        <v>0</v>
      </c>
      <c r="O58" s="19">
        <f ca="1">TESORERIA1PERIODO!Q7</f>
        <v>0</v>
      </c>
      <c r="P58" s="19">
        <f ca="1">TESORERIA1PERIODO!R7</f>
        <v>0</v>
      </c>
      <c r="Q58" s="21">
        <f ca="1">TESORERIA1PERIODO!S7</f>
        <v>6</v>
      </c>
    </row>
    <row r="59" spans="1:17" ht="39.75" customHeight="1" thickTop="1" thickBot="1">
      <c r="A59" s="53"/>
      <c r="B59" s="53"/>
      <c r="C59" s="22" t="s">
        <v>96</v>
      </c>
      <c r="D59" s="18">
        <f ca="1">TESORERIA1PERIODO!F8</f>
        <v>0</v>
      </c>
      <c r="E59" s="19">
        <f ca="1">TESORERIA1PERIODO!G8</f>
        <v>0</v>
      </c>
      <c r="F59" s="19">
        <f ca="1">TESORERIA1PERIODO!H8</f>
        <v>0</v>
      </c>
      <c r="G59" s="19">
        <f ca="1">TESORERIA1PERIODO!I8</f>
        <v>0</v>
      </c>
      <c r="H59" s="19">
        <f ca="1">TESORERIA1PERIODO!J8</f>
        <v>0</v>
      </c>
      <c r="I59" s="19">
        <f ca="1">TESORERIA1PERIODO!K8</f>
        <v>0</v>
      </c>
      <c r="J59" s="19">
        <f ca="1">TESORERIA1PERIODO!L8</f>
        <v>0</v>
      </c>
      <c r="K59" s="19">
        <f ca="1">TESORERIA1PERIODO!M8</f>
        <v>0</v>
      </c>
      <c r="L59" s="19">
        <f ca="1">TESORERIA1PERIODO!N8</f>
        <v>0</v>
      </c>
      <c r="M59" s="19">
        <f ca="1">TESORERIA1PERIODO!O8</f>
        <v>0</v>
      </c>
      <c r="N59" s="19">
        <f ca="1">TESORERIA1PERIODO!P8</f>
        <v>0</v>
      </c>
      <c r="O59" s="19">
        <f ca="1">TESORERIA1PERIODO!Q8</f>
        <v>0</v>
      </c>
      <c r="P59" s="19">
        <f ca="1">TESORERIA1PERIODO!R8</f>
        <v>0</v>
      </c>
      <c r="Q59" s="21">
        <f ca="1">TESORERIA1PERIODO!S8</f>
        <v>0</v>
      </c>
    </row>
    <row r="60" spans="1:17" ht="39.75" customHeight="1" thickTop="1" thickBot="1">
      <c r="A60" s="53"/>
      <c r="B60" s="53"/>
      <c r="C60" s="22" t="s">
        <v>97</v>
      </c>
      <c r="D60" s="18">
        <f ca="1">TESORERIA1PERIODO!F9</f>
        <v>10000</v>
      </c>
      <c r="E60" s="19">
        <f ca="1">TESORERIA1PERIODO!G9</f>
        <v>0</v>
      </c>
      <c r="F60" s="19">
        <f ca="1">TESORERIA1PERIODO!H9</f>
        <v>0</v>
      </c>
      <c r="G60" s="19">
        <f ca="1">TESORERIA1PERIODO!I9</f>
        <v>100</v>
      </c>
      <c r="H60" s="19">
        <f ca="1">TESORERIA1PERIODO!J9</f>
        <v>0</v>
      </c>
      <c r="I60" s="19">
        <f ca="1">TESORERIA1PERIODO!K9</f>
        <v>0</v>
      </c>
      <c r="J60" s="19">
        <f ca="1">TESORERIA1PERIODO!L9</f>
        <v>0</v>
      </c>
      <c r="K60" s="19">
        <f ca="1">TESORERIA1PERIODO!M9</f>
        <v>0</v>
      </c>
      <c r="L60" s="19">
        <f ca="1">TESORERIA1PERIODO!N9</f>
        <v>0</v>
      </c>
      <c r="M60" s="19">
        <f ca="1">TESORERIA1PERIODO!O9</f>
        <v>0</v>
      </c>
      <c r="N60" s="19">
        <f ca="1">TESORERIA1PERIODO!P9</f>
        <v>0</v>
      </c>
      <c r="O60" s="19">
        <f ca="1">TESORERIA1PERIODO!Q9</f>
        <v>0</v>
      </c>
      <c r="P60" s="19">
        <f ca="1">TESORERIA1PERIODO!R9</f>
        <v>0</v>
      </c>
      <c r="Q60" s="21">
        <f ca="1">TESORERIA1PERIODO!S9</f>
        <v>100</v>
      </c>
    </row>
    <row r="61" spans="1:17" ht="39.75" customHeight="1" thickTop="1" thickBot="1">
      <c r="A61" s="53"/>
      <c r="B61" s="53"/>
      <c r="C61" s="22" t="s">
        <v>98</v>
      </c>
      <c r="D61" s="18">
        <f ca="1">TESORERIA1PERIODO!F10</f>
        <v>10000</v>
      </c>
      <c r="E61" s="19">
        <f ca="1">TESORERIA1PERIODO!G10</f>
        <v>0</v>
      </c>
      <c r="F61" s="19">
        <f ca="1">TESORERIA1PERIODO!H10</f>
        <v>0</v>
      </c>
      <c r="G61" s="19">
        <f ca="1">TESORERIA1PERIODO!I10</f>
        <v>100</v>
      </c>
      <c r="H61" s="19">
        <f ca="1">TESORERIA1PERIODO!J10</f>
        <v>0</v>
      </c>
      <c r="I61" s="19">
        <f ca="1">TESORERIA1PERIODO!K10</f>
        <v>0</v>
      </c>
      <c r="J61" s="19">
        <f ca="1">TESORERIA1PERIODO!L10</f>
        <v>0</v>
      </c>
      <c r="K61" s="19">
        <f ca="1">TESORERIA1PERIODO!M10</f>
        <v>0</v>
      </c>
      <c r="L61" s="19">
        <f ca="1">TESORERIA1PERIODO!N10</f>
        <v>0</v>
      </c>
      <c r="M61" s="19">
        <f ca="1">TESORERIA1PERIODO!O10</f>
        <v>0</v>
      </c>
      <c r="N61" s="19">
        <f ca="1">TESORERIA1PERIODO!P10</f>
        <v>0</v>
      </c>
      <c r="O61" s="19">
        <f ca="1">TESORERIA1PERIODO!Q10</f>
        <v>0</v>
      </c>
      <c r="P61" s="19">
        <f ca="1">TESORERIA1PERIODO!R10</f>
        <v>0</v>
      </c>
      <c r="Q61" s="21">
        <f ca="1">TESORERIA1PERIODO!S10</f>
        <v>100</v>
      </c>
    </row>
    <row r="62" spans="1:17" ht="39.75" customHeight="1" thickTop="1" thickBot="1">
      <c r="A62" s="53"/>
      <c r="B62" s="51"/>
      <c r="C62" s="22" t="s">
        <v>99</v>
      </c>
      <c r="D62" s="18">
        <f ca="1">TESORERIA1PERIODO!F11</f>
        <v>75</v>
      </c>
      <c r="E62" s="19">
        <f ca="1">TESORERIA1PERIODO!G11</f>
        <v>0</v>
      </c>
      <c r="F62" s="19">
        <f ca="1">TESORERIA1PERIODO!H11</f>
        <v>0</v>
      </c>
      <c r="G62" s="19">
        <f ca="1">TESORERIA1PERIODO!I11</f>
        <v>0</v>
      </c>
      <c r="H62" s="19">
        <f ca="1">TESORERIA1PERIODO!J11</f>
        <v>0</v>
      </c>
      <c r="I62" s="19">
        <f ca="1">TESORERIA1PERIODO!K11</f>
        <v>0</v>
      </c>
      <c r="J62" s="19">
        <f ca="1">TESORERIA1PERIODO!L11</f>
        <v>0</v>
      </c>
      <c r="K62" s="19">
        <f ca="1">TESORERIA1PERIODO!M11</f>
        <v>3</v>
      </c>
      <c r="L62" s="19">
        <f ca="1">TESORERIA1PERIODO!N11</f>
        <v>3</v>
      </c>
      <c r="M62" s="19">
        <f ca="1">TESORERIA1PERIODO!O11</f>
        <v>3</v>
      </c>
      <c r="N62" s="19">
        <f ca="1">TESORERIA1PERIODO!P11</f>
        <v>0</v>
      </c>
      <c r="O62" s="19">
        <f ca="1">TESORERIA1PERIODO!Q11</f>
        <v>0</v>
      </c>
      <c r="P62" s="19">
        <f ca="1">TESORERIA1PERIODO!R11</f>
        <v>0</v>
      </c>
      <c r="Q62" s="21">
        <f ca="1">TESORERIA1PERIODO!S11</f>
        <v>9</v>
      </c>
    </row>
    <row r="63" spans="1:17" ht="39.75" customHeight="1" thickTop="1" thickBot="1">
      <c r="A63" s="53"/>
      <c r="B63" s="50" t="s">
        <v>100</v>
      </c>
      <c r="C63" s="22" t="s">
        <v>101</v>
      </c>
      <c r="D63" s="18">
        <f ca="1">TESORERIA1PERIODO!F12</f>
        <v>98.7</v>
      </c>
      <c r="E63" s="19">
        <f ca="1">TESORERIA1PERIODO!G12</f>
        <v>0</v>
      </c>
      <c r="F63" s="19">
        <f ca="1">TESORERIA1PERIODO!H12</f>
        <v>0</v>
      </c>
      <c r="G63" s="19">
        <f ca="1">TESORERIA1PERIODO!I12</f>
        <v>0</v>
      </c>
      <c r="H63" s="19">
        <f ca="1">TESORERIA1PERIODO!J12</f>
        <v>0</v>
      </c>
      <c r="I63" s="19">
        <f ca="1">TESORERIA1PERIODO!K12</f>
        <v>0</v>
      </c>
      <c r="J63" s="19">
        <f ca="1">TESORERIA1PERIODO!L12</f>
        <v>0</v>
      </c>
      <c r="K63" s="19">
        <f ca="1">TESORERIA1PERIODO!M12</f>
        <v>0</v>
      </c>
      <c r="L63" s="19">
        <f ca="1">TESORERIA1PERIODO!N12</f>
        <v>0</v>
      </c>
      <c r="M63" s="19">
        <f ca="1">TESORERIA1PERIODO!O12</f>
        <v>987</v>
      </c>
      <c r="N63" s="19">
        <f ca="1">TESORERIA1PERIODO!P12</f>
        <v>0</v>
      </c>
      <c r="O63" s="19">
        <f ca="1">TESORERIA1PERIODO!Q12</f>
        <v>0</v>
      </c>
      <c r="P63" s="19">
        <f ca="1">TESORERIA1PERIODO!R12</f>
        <v>0</v>
      </c>
      <c r="Q63" s="21">
        <f ca="1">TESORERIA1PERIODO!S12</f>
        <v>987</v>
      </c>
    </row>
    <row r="64" spans="1:17" ht="39.75" customHeight="1" thickTop="1" thickBot="1">
      <c r="A64" s="53"/>
      <c r="B64" s="53"/>
      <c r="C64" s="22" t="s">
        <v>102</v>
      </c>
      <c r="D64" s="18">
        <f ca="1">TESORERIA1PERIODO!F13</f>
        <v>0</v>
      </c>
      <c r="E64" s="19">
        <f ca="1">TESORERIA1PERIODO!G13</f>
        <v>0</v>
      </c>
      <c r="F64" s="19">
        <f ca="1">TESORERIA1PERIODO!H13</f>
        <v>0</v>
      </c>
      <c r="G64" s="19">
        <f ca="1">TESORERIA1PERIODO!I13</f>
        <v>0</v>
      </c>
      <c r="H64" s="19">
        <f ca="1">TESORERIA1PERIODO!J13</f>
        <v>0</v>
      </c>
      <c r="I64" s="19">
        <f ca="1">TESORERIA1PERIODO!K13</f>
        <v>0</v>
      </c>
      <c r="J64" s="19">
        <f ca="1">TESORERIA1PERIODO!L13</f>
        <v>0</v>
      </c>
      <c r="K64" s="19">
        <f ca="1">TESORERIA1PERIODO!M13</f>
        <v>0</v>
      </c>
      <c r="L64" s="19">
        <f ca="1">TESORERIA1PERIODO!N13</f>
        <v>0</v>
      </c>
      <c r="M64" s="19">
        <f ca="1">TESORERIA1PERIODO!O13</f>
        <v>0</v>
      </c>
      <c r="N64" s="19">
        <f ca="1">TESORERIA1PERIODO!P13</f>
        <v>0</v>
      </c>
      <c r="O64" s="19">
        <f ca="1">TESORERIA1PERIODO!Q13</f>
        <v>0</v>
      </c>
      <c r="P64" s="19">
        <f ca="1">TESORERIA1PERIODO!R13</f>
        <v>0</v>
      </c>
      <c r="Q64" s="21">
        <f ca="1">TESORERIA1PERIODO!S13</f>
        <v>0</v>
      </c>
    </row>
    <row r="65" spans="1:17" ht="39.75" customHeight="1" thickTop="1" thickBot="1">
      <c r="A65" s="53"/>
      <c r="B65" s="53"/>
      <c r="C65" s="22" t="s">
        <v>103</v>
      </c>
      <c r="D65" s="18">
        <f ca="1">TESORERIA1PERIODO!F14</f>
        <v>161.666666666666</v>
      </c>
      <c r="E65" s="19">
        <f ca="1">TESORERIA1PERIODO!G14</f>
        <v>0</v>
      </c>
      <c r="F65" s="19">
        <f ca="1">TESORERIA1PERIODO!H14</f>
        <v>0</v>
      </c>
      <c r="G65" s="19">
        <f ca="1">TESORERIA1PERIODO!I14</f>
        <v>0</v>
      </c>
      <c r="H65" s="19">
        <f ca="1">TESORERIA1PERIODO!J14</f>
        <v>50</v>
      </c>
      <c r="I65" s="19">
        <f ca="1">TESORERIA1PERIODO!K14</f>
        <v>50</v>
      </c>
      <c r="J65" s="19">
        <f ca="1">TESORERIA1PERIODO!L14</f>
        <v>50</v>
      </c>
      <c r="K65" s="19">
        <f ca="1">TESORERIA1PERIODO!M14</f>
        <v>11</v>
      </c>
      <c r="L65" s="19">
        <f ca="1">TESORERIA1PERIODO!N14</f>
        <v>32</v>
      </c>
      <c r="M65" s="19">
        <f ca="1">TESORERIA1PERIODO!O14</f>
        <v>1</v>
      </c>
      <c r="N65" s="19">
        <f ca="1">TESORERIA1PERIODO!P14</f>
        <v>0</v>
      </c>
      <c r="O65" s="19">
        <f ca="1">TESORERIA1PERIODO!Q14</f>
        <v>0</v>
      </c>
      <c r="P65" s="19">
        <f ca="1">TESORERIA1PERIODO!R14</f>
        <v>0</v>
      </c>
      <c r="Q65" s="21">
        <f ca="1">TESORERIA1PERIODO!S14</f>
        <v>194</v>
      </c>
    </row>
    <row r="66" spans="1:17" ht="39.75" customHeight="1" thickTop="1" thickBot="1">
      <c r="A66" s="53"/>
      <c r="B66" s="51"/>
      <c r="C66" s="22" t="s">
        <v>104</v>
      </c>
      <c r="D66" s="18">
        <f ca="1">TESORERIA1PERIODO!F15</f>
        <v>294.416666666666</v>
      </c>
      <c r="E66" s="19">
        <f ca="1">TESORERIA1PERIODO!G15</f>
        <v>450</v>
      </c>
      <c r="F66" s="19">
        <f ca="1">TESORERIA1PERIODO!H15</f>
        <v>400</v>
      </c>
      <c r="G66" s="19">
        <f ca="1">TESORERIA1PERIODO!I15</f>
        <v>510</v>
      </c>
      <c r="H66" s="19">
        <f ca="1">TESORERIA1PERIODO!J15</f>
        <v>425</v>
      </c>
      <c r="I66" s="19">
        <f ca="1">TESORERIA1PERIODO!K15</f>
        <v>500</v>
      </c>
      <c r="J66" s="19">
        <f ca="1">TESORERIA1PERIODO!L15</f>
        <v>575</v>
      </c>
      <c r="K66" s="19">
        <f ca="1">TESORERIA1PERIODO!M15</f>
        <v>237</v>
      </c>
      <c r="L66" s="19">
        <f ca="1">TESORERIA1PERIODO!N15</f>
        <v>436</v>
      </c>
      <c r="M66" s="19">
        <f ca="1">TESORERIA1PERIODO!O15</f>
        <v>0</v>
      </c>
      <c r="N66" s="19">
        <f ca="1">TESORERIA1PERIODO!P15</f>
        <v>0</v>
      </c>
      <c r="O66" s="19">
        <f ca="1">TESORERIA1PERIODO!Q15</f>
        <v>0</v>
      </c>
      <c r="P66" s="19">
        <f ca="1">TESORERIA1PERIODO!R15</f>
        <v>0</v>
      </c>
      <c r="Q66" s="21">
        <f ca="1">TESORERIA1PERIODO!S15</f>
        <v>3533</v>
      </c>
    </row>
    <row r="67" spans="1:17" ht="39.75" customHeight="1" thickTop="1" thickBot="1">
      <c r="A67" s="53"/>
      <c r="B67" s="23" t="s">
        <v>105</v>
      </c>
      <c r="C67" s="22" t="s">
        <v>106</v>
      </c>
      <c r="D67" s="18">
        <f ca="1">TESORERIA1PERIODO!F16</f>
        <v>29.848484848484802</v>
      </c>
      <c r="E67" s="19">
        <f ca="1">TESORERIA1PERIODO!G16</f>
        <v>0</v>
      </c>
      <c r="F67" s="19">
        <f ca="1">TESORERIA1PERIODO!H16</f>
        <v>0</v>
      </c>
      <c r="G67" s="19">
        <f ca="1">TESORERIA1PERIODO!I16</f>
        <v>0</v>
      </c>
      <c r="H67" s="19">
        <f ca="1">TESORERIA1PERIODO!J16</f>
        <v>0</v>
      </c>
      <c r="I67" s="19">
        <f ca="1">TESORERIA1PERIODO!K16</f>
        <v>0</v>
      </c>
      <c r="J67" s="19">
        <f ca="1">TESORERIA1PERIODO!L16</f>
        <v>0</v>
      </c>
      <c r="K67" s="19">
        <f ca="1">TESORERIA1PERIODO!M16</f>
        <v>125</v>
      </c>
      <c r="L67" s="19">
        <f ca="1">TESORERIA1PERIODO!N16</f>
        <v>131</v>
      </c>
      <c r="M67" s="19">
        <f ca="1">TESORERIA1PERIODO!O16</f>
        <v>138</v>
      </c>
      <c r="N67" s="19">
        <f ca="1">TESORERIA1PERIODO!P16</f>
        <v>0</v>
      </c>
      <c r="O67" s="19">
        <f ca="1">TESORERIA1PERIODO!Q16</f>
        <v>0</v>
      </c>
      <c r="P67" s="19">
        <f ca="1">TESORERIA1PERIODO!R16</f>
        <v>0</v>
      </c>
      <c r="Q67" s="21">
        <f ca="1">TESORERIA1PERIODO!S16</f>
        <v>394</v>
      </c>
    </row>
    <row r="68" spans="1:17" ht="39.75" customHeight="1" thickTop="1" thickBot="1">
      <c r="A68" s="53"/>
      <c r="B68" s="50" t="s">
        <v>107</v>
      </c>
      <c r="C68" s="22" t="s">
        <v>108</v>
      </c>
      <c r="D68" s="18">
        <f ca="1">TESORERIA1PERIODO!F17</f>
        <v>136.54545454545399</v>
      </c>
      <c r="E68" s="19">
        <f ca="1">TESORERIA1PERIODO!G17</f>
        <v>87</v>
      </c>
      <c r="F68" s="19">
        <f ca="1">TESORERIA1PERIODO!H17</f>
        <v>188</v>
      </c>
      <c r="G68" s="19">
        <f ca="1">TESORERIA1PERIODO!I17</f>
        <v>132</v>
      </c>
      <c r="H68" s="19">
        <f ca="1">TESORERIA1PERIODO!J17</f>
        <v>35</v>
      </c>
      <c r="I68" s="19">
        <f ca="1">TESORERIA1PERIODO!K17</f>
        <v>0</v>
      </c>
      <c r="J68" s="19">
        <f ca="1">TESORERIA1PERIODO!L17</f>
        <v>0</v>
      </c>
      <c r="K68" s="19">
        <f ca="1">TESORERIA1PERIODO!M17</f>
        <v>173</v>
      </c>
      <c r="L68" s="19">
        <f ca="1">TESORERIA1PERIODO!N17</f>
        <v>136</v>
      </c>
      <c r="M68" s="19">
        <f ca="1">TESORERIA1PERIODO!O17</f>
        <v>0</v>
      </c>
      <c r="N68" s="19">
        <f ca="1">TESORERIA1PERIODO!P17</f>
        <v>0</v>
      </c>
      <c r="O68" s="19">
        <f ca="1">TESORERIA1PERIODO!Q17</f>
        <v>0</v>
      </c>
      <c r="P68" s="19">
        <f ca="1">TESORERIA1PERIODO!R17</f>
        <v>0</v>
      </c>
      <c r="Q68" s="21">
        <f ca="1">TESORERIA1PERIODO!S17</f>
        <v>751</v>
      </c>
    </row>
    <row r="69" spans="1:17" ht="39.75" customHeight="1" thickTop="1" thickBot="1">
      <c r="A69" s="53"/>
      <c r="B69" s="53"/>
      <c r="C69" s="22" t="s">
        <v>109</v>
      </c>
      <c r="D69" s="18">
        <f ca="1">TESORERIA1PERIODO!F18</f>
        <v>5.6818181818181799</v>
      </c>
      <c r="E69" s="19">
        <f ca="1">TESORERIA1PERIODO!G18</f>
        <v>2</v>
      </c>
      <c r="F69" s="19">
        <f ca="1">TESORERIA1PERIODO!H18</f>
        <v>3</v>
      </c>
      <c r="G69" s="19">
        <f ca="1">TESORERIA1PERIODO!I18</f>
        <v>2</v>
      </c>
      <c r="H69" s="19">
        <f ca="1">TESORERIA1PERIODO!J18</f>
        <v>34</v>
      </c>
      <c r="I69" s="19">
        <f ca="1">TESORERIA1PERIODO!K18</f>
        <v>0</v>
      </c>
      <c r="J69" s="19">
        <f ca="1">TESORERIA1PERIODO!L18</f>
        <v>0</v>
      </c>
      <c r="K69" s="19">
        <f ca="1">TESORERIA1PERIODO!M18</f>
        <v>3</v>
      </c>
      <c r="L69" s="19">
        <f ca="1">TESORERIA1PERIODO!N18</f>
        <v>6</v>
      </c>
      <c r="M69" s="19">
        <f ca="1">TESORERIA1PERIODO!O18</f>
        <v>0</v>
      </c>
      <c r="N69" s="19">
        <f ca="1">TESORERIA1PERIODO!P18</f>
        <v>0</v>
      </c>
      <c r="O69" s="19">
        <f ca="1">TESORERIA1PERIODO!Q18</f>
        <v>0</v>
      </c>
      <c r="P69" s="19">
        <f ca="1">TESORERIA1PERIODO!R18</f>
        <v>0</v>
      </c>
      <c r="Q69" s="21">
        <f ca="1">TESORERIA1PERIODO!S18</f>
        <v>50</v>
      </c>
    </row>
    <row r="70" spans="1:17" ht="39.75" customHeight="1" thickTop="1" thickBot="1">
      <c r="A70" s="53"/>
      <c r="B70" s="53"/>
      <c r="C70" s="22" t="s">
        <v>57</v>
      </c>
      <c r="D70" s="18">
        <f ca="1">TESORERIA1PERIODO!F19</f>
        <v>6.2727272727272698</v>
      </c>
      <c r="E70" s="19">
        <f ca="1">TESORERIA1PERIODO!G19</f>
        <v>2</v>
      </c>
      <c r="F70" s="19">
        <f ca="1">TESORERIA1PERIODO!H19</f>
        <v>0</v>
      </c>
      <c r="G70" s="19">
        <f ca="1">TESORERIA1PERIODO!I19</f>
        <v>2</v>
      </c>
      <c r="H70" s="19">
        <f ca="1">TESORERIA1PERIODO!J19</f>
        <v>56</v>
      </c>
      <c r="I70" s="19">
        <f ca="1">TESORERIA1PERIODO!K19</f>
        <v>0</v>
      </c>
      <c r="J70" s="19">
        <f ca="1">TESORERIA1PERIODO!L19</f>
        <v>0</v>
      </c>
      <c r="K70" s="19">
        <f ca="1">TESORERIA1PERIODO!M19</f>
        <v>3</v>
      </c>
      <c r="L70" s="19">
        <f ca="1">TESORERIA1PERIODO!N19</f>
        <v>6</v>
      </c>
      <c r="M70" s="19">
        <f ca="1">TESORERIA1PERIODO!O19</f>
        <v>0</v>
      </c>
      <c r="N70" s="19">
        <f ca="1">TESORERIA1PERIODO!P19</f>
        <v>0</v>
      </c>
      <c r="O70" s="19">
        <f ca="1">TESORERIA1PERIODO!Q19</f>
        <v>0</v>
      </c>
      <c r="P70" s="19">
        <f ca="1">TESORERIA1PERIODO!R19</f>
        <v>0</v>
      </c>
      <c r="Q70" s="21">
        <f ca="1">TESORERIA1PERIODO!S19</f>
        <v>69</v>
      </c>
    </row>
    <row r="71" spans="1:17" ht="39.75" customHeight="1" thickTop="1" thickBot="1">
      <c r="A71" s="53"/>
      <c r="B71" s="53"/>
      <c r="C71" s="22" t="s">
        <v>110</v>
      </c>
      <c r="D71" s="18">
        <f ca="1">TESORERIA1PERIODO!F20</f>
        <v>5.5</v>
      </c>
      <c r="E71" s="19">
        <f ca="1">TESORERIA1PERIODO!G20</f>
        <v>2</v>
      </c>
      <c r="F71" s="19">
        <f ca="1">TESORERIA1PERIODO!H20</f>
        <v>3</v>
      </c>
      <c r="G71" s="19">
        <f ca="1">TESORERIA1PERIODO!I20</f>
        <v>2</v>
      </c>
      <c r="H71" s="19">
        <f ca="1">TESORERIA1PERIODO!J20</f>
        <v>56</v>
      </c>
      <c r="I71" s="19">
        <f ca="1">TESORERIA1PERIODO!K20</f>
        <v>0</v>
      </c>
      <c r="J71" s="19">
        <f ca="1">TESORERIA1PERIODO!L20</f>
        <v>0</v>
      </c>
      <c r="K71" s="19">
        <f ca="1">TESORERIA1PERIODO!M20</f>
        <v>3</v>
      </c>
      <c r="L71" s="19">
        <f ca="1">TESORERIA1PERIODO!N20</f>
        <v>0</v>
      </c>
      <c r="M71" s="19">
        <f ca="1">TESORERIA1PERIODO!O20</f>
        <v>0</v>
      </c>
      <c r="N71" s="19">
        <f ca="1">TESORERIA1PERIODO!P20</f>
        <v>0</v>
      </c>
      <c r="O71" s="19">
        <f ca="1">TESORERIA1PERIODO!Q20</f>
        <v>0</v>
      </c>
      <c r="P71" s="19">
        <f ca="1">TESORERIA1PERIODO!R20</f>
        <v>0</v>
      </c>
      <c r="Q71" s="21">
        <f ca="1">TESORERIA1PERIODO!S20</f>
        <v>66</v>
      </c>
    </row>
    <row r="72" spans="1:17" ht="39.75" customHeight="1" thickTop="1" thickBot="1">
      <c r="A72" s="53"/>
      <c r="B72" s="53"/>
      <c r="C72" s="22" t="s">
        <v>111</v>
      </c>
      <c r="D72" s="18">
        <f ca="1">TESORERIA1PERIODO!F21</f>
        <v>15</v>
      </c>
      <c r="E72" s="19">
        <f ca="1">TESORERIA1PERIODO!G21</f>
        <v>2</v>
      </c>
      <c r="F72" s="19">
        <f ca="1">TESORERIA1PERIODO!H21</f>
        <v>0</v>
      </c>
      <c r="G72" s="19">
        <f ca="1">TESORERIA1PERIODO!I21</f>
        <v>0</v>
      </c>
      <c r="H72" s="19">
        <f ca="1">TESORERIA1PERIODO!J21</f>
        <v>0</v>
      </c>
      <c r="I72" s="19">
        <f ca="1">TESORERIA1PERIODO!K21</f>
        <v>0</v>
      </c>
      <c r="J72" s="19">
        <f ca="1">TESORERIA1PERIODO!L21</f>
        <v>0</v>
      </c>
      <c r="K72" s="19">
        <f ca="1">TESORERIA1PERIODO!M21</f>
        <v>2</v>
      </c>
      <c r="L72" s="19">
        <f ca="1">TESORERIA1PERIODO!N21</f>
        <v>2</v>
      </c>
      <c r="M72" s="19">
        <f ca="1">TESORERIA1PERIODO!O21</f>
        <v>0</v>
      </c>
      <c r="N72" s="19">
        <f ca="1">TESORERIA1PERIODO!P21</f>
        <v>0</v>
      </c>
      <c r="O72" s="19">
        <f ca="1">TESORERIA1PERIODO!Q21</f>
        <v>0</v>
      </c>
      <c r="P72" s="19">
        <f ca="1">TESORERIA1PERIODO!R21</f>
        <v>0</v>
      </c>
      <c r="Q72" s="21">
        <f ca="1">TESORERIA1PERIODO!S21</f>
        <v>6</v>
      </c>
    </row>
    <row r="73" spans="1:17" ht="39.75" customHeight="1" thickTop="1" thickBot="1">
      <c r="A73" s="53"/>
      <c r="B73" s="53"/>
      <c r="C73" s="22" t="s">
        <v>112</v>
      </c>
      <c r="D73" s="18">
        <f ca="1">TESORERIA1PERIODO!F22</f>
        <v>7.8571428571428497</v>
      </c>
      <c r="E73" s="19">
        <f ca="1">TESORERIA1PERIODO!G22</f>
        <v>3</v>
      </c>
      <c r="F73" s="19">
        <f ca="1">TESORERIA1PERIODO!H22</f>
        <v>9</v>
      </c>
      <c r="G73" s="19">
        <f ca="1">TESORERIA1PERIODO!I22</f>
        <v>6</v>
      </c>
      <c r="H73" s="19">
        <f ca="1">TESORERIA1PERIODO!J22</f>
        <v>8</v>
      </c>
      <c r="I73" s="19">
        <f ca="1">TESORERIA1PERIODO!K22</f>
        <v>0</v>
      </c>
      <c r="J73" s="19">
        <f ca="1">TESORERIA1PERIODO!L22</f>
        <v>0</v>
      </c>
      <c r="K73" s="19">
        <f ca="1">TESORERIA1PERIODO!M22</f>
        <v>42</v>
      </c>
      <c r="L73" s="19">
        <f ca="1">TESORERIA1PERIODO!N22</f>
        <v>42</v>
      </c>
      <c r="M73" s="19">
        <f ca="1">TESORERIA1PERIODO!O22</f>
        <v>0</v>
      </c>
      <c r="N73" s="19">
        <f ca="1">TESORERIA1PERIODO!P22</f>
        <v>0</v>
      </c>
      <c r="O73" s="19">
        <f ca="1">TESORERIA1PERIODO!Q22</f>
        <v>0</v>
      </c>
      <c r="P73" s="19">
        <f ca="1">TESORERIA1PERIODO!R22</f>
        <v>0</v>
      </c>
      <c r="Q73" s="21">
        <f ca="1">TESORERIA1PERIODO!S22</f>
        <v>110</v>
      </c>
    </row>
    <row r="74" spans="1:17" ht="39.75" customHeight="1" thickTop="1" thickBot="1">
      <c r="A74" s="53"/>
      <c r="B74" s="53"/>
      <c r="C74" s="22" t="s">
        <v>113</v>
      </c>
      <c r="D74" s="18">
        <f ca="1">TESORERIA1PERIODO!F23</f>
        <v>166.666666666666</v>
      </c>
      <c r="E74" s="19">
        <f ca="1">TESORERIA1PERIODO!G23</f>
        <v>0</v>
      </c>
      <c r="F74" s="19">
        <f ca="1">TESORERIA1PERIODO!H23</f>
        <v>1</v>
      </c>
      <c r="G74" s="19">
        <f ca="1">TESORERIA1PERIODO!I23</f>
        <v>1</v>
      </c>
      <c r="H74" s="19">
        <f ca="1">TESORERIA1PERIODO!J23</f>
        <v>8</v>
      </c>
      <c r="I74" s="19">
        <f ca="1">TESORERIA1PERIODO!K23</f>
        <v>0</v>
      </c>
      <c r="J74" s="19">
        <f ca="1">TESORERIA1PERIODO!L23</f>
        <v>0</v>
      </c>
      <c r="K74" s="19">
        <f ca="1">TESORERIA1PERIODO!M23</f>
        <v>4</v>
      </c>
      <c r="L74" s="19">
        <f ca="1">TESORERIA1PERIODO!N23</f>
        <v>6</v>
      </c>
      <c r="M74" s="19">
        <f ca="1">TESORERIA1PERIODO!O23</f>
        <v>0</v>
      </c>
      <c r="N74" s="19">
        <f ca="1">TESORERIA1PERIODO!P23</f>
        <v>0</v>
      </c>
      <c r="O74" s="19">
        <f ca="1">TESORERIA1PERIODO!Q23</f>
        <v>0</v>
      </c>
      <c r="P74" s="19">
        <f ca="1">TESORERIA1PERIODO!R23</f>
        <v>0</v>
      </c>
      <c r="Q74" s="21">
        <f ca="1">TESORERIA1PERIODO!S23</f>
        <v>20</v>
      </c>
    </row>
    <row r="75" spans="1:17" ht="39.75" customHeight="1" thickTop="1" thickBot="1">
      <c r="A75" s="53"/>
      <c r="B75" s="53"/>
      <c r="C75" s="22" t="s">
        <v>114</v>
      </c>
      <c r="D75" s="18">
        <f ca="1">TESORERIA1PERIODO!F24</f>
        <v>112.5</v>
      </c>
      <c r="E75" s="19">
        <f ca="1">TESORERIA1PERIODO!G24</f>
        <v>224</v>
      </c>
      <c r="F75" s="19">
        <f ca="1">TESORERIA1PERIODO!H24</f>
        <v>56</v>
      </c>
      <c r="G75" s="19">
        <f ca="1">TESORERIA1PERIODO!I24</f>
        <v>23</v>
      </c>
      <c r="H75" s="19">
        <f ca="1">TESORERIA1PERIODO!J24</f>
        <v>56</v>
      </c>
      <c r="I75" s="19">
        <f ca="1">TESORERIA1PERIODO!K24</f>
        <v>0</v>
      </c>
      <c r="J75" s="19">
        <f ca="1">TESORERIA1PERIODO!L24</f>
        <v>0</v>
      </c>
      <c r="K75" s="19">
        <f ca="1">TESORERIA1PERIODO!M24</f>
        <v>1</v>
      </c>
      <c r="L75" s="19">
        <f ca="1">TESORERIA1PERIODO!N24</f>
        <v>0</v>
      </c>
      <c r="M75" s="19">
        <f ca="1">TESORERIA1PERIODO!O24</f>
        <v>0</v>
      </c>
      <c r="N75" s="19">
        <f ca="1">TESORERIA1PERIODO!P24</f>
        <v>0</v>
      </c>
      <c r="O75" s="19">
        <f ca="1">TESORERIA1PERIODO!Q24</f>
        <v>0</v>
      </c>
      <c r="P75" s="19">
        <f ca="1">TESORERIA1PERIODO!R24</f>
        <v>0</v>
      </c>
      <c r="Q75" s="21">
        <f ca="1">TESORERIA1PERIODO!S24</f>
        <v>360</v>
      </c>
    </row>
    <row r="76" spans="1:17" ht="39.75" customHeight="1" thickTop="1" thickBot="1">
      <c r="A76" s="53"/>
      <c r="B76" s="53"/>
      <c r="C76" s="22" t="s">
        <v>115</v>
      </c>
      <c r="D76" s="18">
        <f ca="1">TESORERIA1PERIODO!F25</f>
        <v>53.3333333333333</v>
      </c>
      <c r="E76" s="19">
        <f ca="1">TESORERIA1PERIODO!G25</f>
        <v>0</v>
      </c>
      <c r="F76" s="19">
        <f ca="1">TESORERIA1PERIODO!H25</f>
        <v>0</v>
      </c>
      <c r="G76" s="19">
        <f ca="1">TESORERIA1PERIODO!I25</f>
        <v>0</v>
      </c>
      <c r="H76" s="19">
        <f ca="1">TESORERIA1PERIODO!J25</f>
        <v>2</v>
      </c>
      <c r="I76" s="19">
        <f ca="1">TESORERIA1PERIODO!K25</f>
        <v>0</v>
      </c>
      <c r="J76" s="19">
        <f ca="1">TESORERIA1PERIODO!L25</f>
        <v>0</v>
      </c>
      <c r="K76" s="19">
        <f ca="1">TESORERIA1PERIODO!M25</f>
        <v>0</v>
      </c>
      <c r="L76" s="19">
        <f ca="1">TESORERIA1PERIODO!N25</f>
        <v>6</v>
      </c>
      <c r="M76" s="19">
        <f ca="1">TESORERIA1PERIODO!O25</f>
        <v>0</v>
      </c>
      <c r="N76" s="19">
        <f ca="1">TESORERIA1PERIODO!P25</f>
        <v>0</v>
      </c>
      <c r="O76" s="19">
        <f ca="1">TESORERIA1PERIODO!Q25</f>
        <v>0</v>
      </c>
      <c r="P76" s="19">
        <f ca="1">TESORERIA1PERIODO!R25</f>
        <v>0</v>
      </c>
      <c r="Q76" s="21">
        <f ca="1">TESORERIA1PERIODO!S25</f>
        <v>8</v>
      </c>
    </row>
    <row r="77" spans="1:17" ht="39.75" customHeight="1" thickTop="1" thickBot="1">
      <c r="A77" s="51"/>
      <c r="B77" s="51"/>
      <c r="C77" s="22" t="s">
        <v>116</v>
      </c>
      <c r="D77" s="18">
        <f ca="1">TESORERIA1PERIODO!F26</f>
        <v>4</v>
      </c>
      <c r="E77" s="19">
        <f ca="1">TESORERIA1PERIODO!G26</f>
        <v>0</v>
      </c>
      <c r="F77" s="19">
        <f ca="1">TESORERIA1PERIODO!H26</f>
        <v>1</v>
      </c>
      <c r="G77" s="19">
        <f ca="1">TESORERIA1PERIODO!I26</f>
        <v>1</v>
      </c>
      <c r="H77" s="19">
        <f ca="1">TESORERIA1PERIODO!J26</f>
        <v>0</v>
      </c>
      <c r="I77" s="19">
        <f ca="1">TESORERIA1PERIODO!K26</f>
        <v>0</v>
      </c>
      <c r="J77" s="19">
        <f ca="1">TESORERIA1PERIODO!L26</f>
        <v>0</v>
      </c>
      <c r="K77" s="19">
        <f ca="1">TESORERIA1PERIODO!M26</f>
        <v>4</v>
      </c>
      <c r="L77" s="19">
        <f ca="1">TESORERIA1PERIODO!N26</f>
        <v>6</v>
      </c>
      <c r="M77" s="19">
        <f ca="1">TESORERIA1PERIODO!O26</f>
        <v>0</v>
      </c>
      <c r="N77" s="19">
        <f ca="1">TESORERIA1PERIODO!P26</f>
        <v>0</v>
      </c>
      <c r="O77" s="19">
        <f ca="1">TESORERIA1PERIODO!Q26</f>
        <v>0</v>
      </c>
      <c r="P77" s="19">
        <f ca="1">TESORERIA1PERIODO!R26</f>
        <v>0</v>
      </c>
      <c r="Q77" s="21">
        <f ca="1">TESORERIA1PERIODO!S26</f>
        <v>12</v>
      </c>
    </row>
    <row r="78" spans="1:17" ht="39.75" customHeight="1" thickTop="1" thickBot="1">
      <c r="A78" s="52" t="s">
        <v>117</v>
      </c>
      <c r="B78" s="52" t="s">
        <v>118</v>
      </c>
      <c r="C78" s="12" t="s">
        <v>119</v>
      </c>
      <c r="D78" s="18">
        <f ca="1">'1PERIODOCONTRALORIA'!F2</f>
        <v>120</v>
      </c>
      <c r="E78" s="19">
        <f ca="1">'1PERIODOCONTRALORIA'!G2</f>
        <v>0</v>
      </c>
      <c r="F78" s="19">
        <f ca="1">'1PERIODOCONTRALORIA'!H2</f>
        <v>1</v>
      </c>
      <c r="G78" s="19">
        <f ca="1">'1PERIODOCONTRALORIA'!I2</f>
        <v>0</v>
      </c>
      <c r="H78" s="19">
        <f ca="1">'1PERIODOCONTRALORIA'!J2</f>
        <v>0</v>
      </c>
      <c r="I78" s="19">
        <f ca="1">'1PERIODOCONTRALORIA'!K2</f>
        <v>1</v>
      </c>
      <c r="J78" s="19">
        <f ca="1">'1PERIODOCONTRALORIA'!L2</f>
        <v>1</v>
      </c>
      <c r="K78" s="19">
        <f ca="1">'1PERIODOCONTRALORIA'!M2</f>
        <v>0</v>
      </c>
      <c r="L78" s="19">
        <f ca="1">'1PERIODOCONTRALORIA'!N2</f>
        <v>1</v>
      </c>
      <c r="M78" s="19">
        <f ca="1">'1PERIODOCONTRALORIA'!O2</f>
        <v>0</v>
      </c>
      <c r="N78" s="19">
        <f ca="1">'1PERIODOCONTRALORIA'!P2</f>
        <v>1</v>
      </c>
      <c r="O78" s="19">
        <f ca="1">'1PERIODOCONTRALORIA'!Q2</f>
        <v>1</v>
      </c>
      <c r="P78" s="19">
        <f ca="1">'1PERIODOCONTRALORIA'!R2</f>
        <v>0</v>
      </c>
      <c r="Q78" s="21">
        <f ca="1">'1PERIODOCONTRALORIA'!S2</f>
        <v>6</v>
      </c>
    </row>
    <row r="79" spans="1:17" ht="39.75" customHeight="1" thickTop="1" thickBot="1">
      <c r="A79" s="53"/>
      <c r="B79" s="53"/>
      <c r="C79" s="12" t="s">
        <v>120</v>
      </c>
      <c r="D79" s="18">
        <f ca="1">'1PERIODOCONTRALORIA'!F3</f>
        <v>137.5</v>
      </c>
      <c r="E79" s="19">
        <f ca="1">'1PERIODOCONTRALORIA'!G3</f>
        <v>0</v>
      </c>
      <c r="F79" s="19">
        <f ca="1">'1PERIODOCONTRALORIA'!H3</f>
        <v>1</v>
      </c>
      <c r="G79" s="19">
        <f ca="1">'1PERIODOCONTRALORIA'!I3</f>
        <v>0</v>
      </c>
      <c r="H79" s="19">
        <f ca="1">'1PERIODOCONTRALORIA'!J3</f>
        <v>0</v>
      </c>
      <c r="I79" s="19">
        <f ca="1">'1PERIODOCONTRALORIA'!K3</f>
        <v>1</v>
      </c>
      <c r="J79" s="19">
        <f ca="1">'1PERIODOCONTRALORIA'!L3</f>
        <v>0</v>
      </c>
      <c r="K79" s="19">
        <f ca="1">'1PERIODOCONTRALORIA'!M3</f>
        <v>4</v>
      </c>
      <c r="L79" s="19">
        <f ca="1">'1PERIODOCONTRALORIA'!N3</f>
        <v>0</v>
      </c>
      <c r="M79" s="19">
        <f ca="1">'1PERIODOCONTRALORIA'!O3</f>
        <v>0</v>
      </c>
      <c r="N79" s="19">
        <f ca="1">'1PERIODOCONTRALORIA'!P3</f>
        <v>0</v>
      </c>
      <c r="O79" s="19">
        <f ca="1">'1PERIODOCONTRALORIA'!Q3</f>
        <v>2</v>
      </c>
      <c r="P79" s="19">
        <f ca="1">'1PERIODOCONTRALORIA'!R3</f>
        <v>3</v>
      </c>
      <c r="Q79" s="21">
        <f ca="1">'1PERIODOCONTRALORIA'!S3</f>
        <v>11</v>
      </c>
    </row>
    <row r="80" spans="1:17" ht="39.75" customHeight="1" thickTop="1" thickBot="1">
      <c r="A80" s="53"/>
      <c r="B80" s="53"/>
      <c r="C80" s="12" t="s">
        <v>121</v>
      </c>
      <c r="D80" s="18">
        <f ca="1">'1PERIODOCONTRALORIA'!F4</f>
        <v>133.333333333333</v>
      </c>
      <c r="E80" s="19">
        <f ca="1">'1PERIODOCONTRALORIA'!G4</f>
        <v>0</v>
      </c>
      <c r="F80" s="19">
        <f ca="1">'1PERIODOCONTRALORIA'!H4</f>
        <v>1</v>
      </c>
      <c r="G80" s="19">
        <f ca="1">'1PERIODOCONTRALORIA'!I4</f>
        <v>0</v>
      </c>
      <c r="H80" s="19">
        <f ca="1">'1PERIODOCONTRALORIA'!J4</f>
        <v>0</v>
      </c>
      <c r="I80" s="19">
        <f ca="1">'1PERIODOCONTRALORIA'!K4</f>
        <v>1</v>
      </c>
      <c r="J80" s="19">
        <f ca="1">'1PERIODOCONTRALORIA'!L4</f>
        <v>0</v>
      </c>
      <c r="K80" s="19">
        <f ca="1">'1PERIODOCONTRALORIA'!M4</f>
        <v>0</v>
      </c>
      <c r="L80" s="19">
        <f ca="1">'1PERIODOCONTRALORIA'!N4</f>
        <v>0</v>
      </c>
      <c r="M80" s="19">
        <f ca="1">'1PERIODOCONTRALORIA'!O4</f>
        <v>0</v>
      </c>
      <c r="N80" s="19">
        <f ca="1">'1PERIODOCONTRALORIA'!P4</f>
        <v>0</v>
      </c>
      <c r="O80" s="19">
        <f ca="1">'1PERIODOCONTRALORIA'!Q4</f>
        <v>2</v>
      </c>
      <c r="P80" s="19">
        <f ca="1">'1PERIODOCONTRALORIA'!R4</f>
        <v>0</v>
      </c>
      <c r="Q80" s="21">
        <f ca="1">'1PERIODOCONTRALORIA'!S4</f>
        <v>4</v>
      </c>
    </row>
    <row r="81" spans="1:17" ht="39.75" customHeight="1" thickTop="1" thickBot="1">
      <c r="A81" s="53"/>
      <c r="B81" s="53"/>
      <c r="C81" s="12" t="s">
        <v>122</v>
      </c>
      <c r="D81" s="18">
        <f ca="1">'1PERIODOCONTRALORIA'!F5</f>
        <v>125</v>
      </c>
      <c r="E81" s="19">
        <f ca="1">'1PERIODOCONTRALORIA'!G5</f>
        <v>0</v>
      </c>
      <c r="F81" s="19">
        <f ca="1">'1PERIODOCONTRALORIA'!H5</f>
        <v>1</v>
      </c>
      <c r="G81" s="19">
        <f ca="1">'1PERIODOCONTRALORIA'!I5</f>
        <v>0</v>
      </c>
      <c r="H81" s="19">
        <f ca="1">'1PERIODOCONTRALORIA'!J5</f>
        <v>0</v>
      </c>
      <c r="I81" s="19">
        <f ca="1">'1PERIODOCONTRALORIA'!K5</f>
        <v>1</v>
      </c>
      <c r="J81" s="19">
        <f ca="1">'1PERIODOCONTRALORIA'!L5</f>
        <v>1</v>
      </c>
      <c r="K81" s="19">
        <f ca="1">'1PERIODOCONTRALORIA'!M5</f>
        <v>0</v>
      </c>
      <c r="L81" s="19">
        <f ca="1">'1PERIODOCONTRALORIA'!N5</f>
        <v>0</v>
      </c>
      <c r="M81" s="19">
        <f ca="1">'1PERIODOCONTRALORIA'!O5</f>
        <v>0</v>
      </c>
      <c r="N81" s="19">
        <f ca="1">'1PERIODOCONTRALORIA'!P5</f>
        <v>0</v>
      </c>
      <c r="O81" s="19">
        <f ca="1">'1PERIODOCONTRALORIA'!Q5</f>
        <v>2</v>
      </c>
      <c r="P81" s="19">
        <f ca="1">'1PERIODOCONTRALORIA'!R5</f>
        <v>0</v>
      </c>
      <c r="Q81" s="21">
        <f ca="1">'1PERIODOCONTRALORIA'!S5</f>
        <v>5</v>
      </c>
    </row>
    <row r="82" spans="1:17" ht="39.75" customHeight="1" thickTop="1" thickBot="1">
      <c r="A82" s="53"/>
      <c r="B82" s="53"/>
      <c r="C82" s="12" t="s">
        <v>123</v>
      </c>
      <c r="D82" s="18">
        <f ca="1">'1PERIODOCONTRALORIA'!F6</f>
        <v>116.666666666666</v>
      </c>
      <c r="E82" s="19">
        <f ca="1">'1PERIODOCONTRALORIA'!G6</f>
        <v>0</v>
      </c>
      <c r="F82" s="19">
        <f ca="1">'1PERIODOCONTRALORIA'!H6</f>
        <v>2</v>
      </c>
      <c r="G82" s="19">
        <f ca="1">'1PERIODOCONTRALORIA'!I6</f>
        <v>0</v>
      </c>
      <c r="H82" s="19">
        <f ca="1">'1PERIODOCONTRALORIA'!J6</f>
        <v>0</v>
      </c>
      <c r="I82" s="19">
        <f ca="1">'1PERIODOCONTRALORIA'!K6</f>
        <v>1</v>
      </c>
      <c r="J82" s="19">
        <f ca="1">'1PERIODOCONTRALORIA'!L6</f>
        <v>0</v>
      </c>
      <c r="K82" s="19">
        <f ca="1">'1PERIODOCONTRALORIA'!M6</f>
        <v>2</v>
      </c>
      <c r="L82" s="19">
        <f ca="1">'1PERIODOCONTRALORIA'!N6</f>
        <v>0</v>
      </c>
      <c r="M82" s="19">
        <f ca="1">'1PERIODOCONTRALORIA'!O6</f>
        <v>0</v>
      </c>
      <c r="N82" s="19">
        <f ca="1">'1PERIODOCONTRALORIA'!P6</f>
        <v>0</v>
      </c>
      <c r="O82" s="19">
        <f ca="1">'1PERIODOCONTRALORIA'!Q6</f>
        <v>2</v>
      </c>
      <c r="P82" s="19">
        <f ca="1">'1PERIODOCONTRALORIA'!R6</f>
        <v>0</v>
      </c>
      <c r="Q82" s="21">
        <f ca="1">'1PERIODOCONTRALORIA'!S6</f>
        <v>7</v>
      </c>
    </row>
    <row r="83" spans="1:17" ht="39.75" customHeight="1" thickTop="1" thickBot="1">
      <c r="A83" s="53"/>
      <c r="B83" s="53"/>
      <c r="C83" s="12" t="s">
        <v>124</v>
      </c>
      <c r="D83" s="18">
        <f ca="1">'1PERIODOCONTRALORIA'!F7</f>
        <v>116.07843137254901</v>
      </c>
      <c r="E83" s="19">
        <f ca="1">'1PERIODOCONTRALORIA'!G7</f>
        <v>0</v>
      </c>
      <c r="F83" s="19">
        <f ca="1">'1PERIODOCONTRALORIA'!H7</f>
        <v>63</v>
      </c>
      <c r="G83" s="19">
        <f ca="1">'1PERIODOCONTRALORIA'!I7</f>
        <v>0</v>
      </c>
      <c r="H83" s="19">
        <f ca="1">'1PERIODOCONTRALORIA'!J7</f>
        <v>0</v>
      </c>
      <c r="I83" s="19">
        <f ca="1">'1PERIODOCONTRALORIA'!K7</f>
        <v>58</v>
      </c>
      <c r="J83" s="19">
        <f ca="1">'1PERIODOCONTRALORIA'!L7</f>
        <v>0</v>
      </c>
      <c r="K83" s="19">
        <f ca="1">'1PERIODOCONTRALORIA'!M7</f>
        <v>102</v>
      </c>
      <c r="L83" s="19">
        <f ca="1">'1PERIODOCONTRALORIA'!N7</f>
        <v>0</v>
      </c>
      <c r="M83" s="19">
        <f ca="1">'1PERIODOCONTRALORIA'!O7</f>
        <v>0</v>
      </c>
      <c r="N83" s="19">
        <f ca="1">'1PERIODOCONTRALORIA'!P7</f>
        <v>0</v>
      </c>
      <c r="O83" s="19">
        <f ca="1">'1PERIODOCONTRALORIA'!Q7</f>
        <v>73</v>
      </c>
      <c r="P83" s="19">
        <f ca="1">'1PERIODOCONTRALORIA'!R7</f>
        <v>0</v>
      </c>
      <c r="Q83" s="21">
        <f ca="1">'1PERIODOCONTRALORIA'!S7</f>
        <v>296</v>
      </c>
    </row>
    <row r="84" spans="1:17" ht="39.75" customHeight="1" thickTop="1" thickBot="1">
      <c r="A84" s="53"/>
      <c r="B84" s="53"/>
      <c r="C84" s="12" t="s">
        <v>125</v>
      </c>
      <c r="D84" s="18">
        <f ca="1">'1PERIODOCONTRALORIA'!F8</f>
        <v>55</v>
      </c>
      <c r="E84" s="19">
        <f ca="1">'1PERIODOCONTRALORIA'!G8</f>
        <v>0</v>
      </c>
      <c r="F84" s="19">
        <f ca="1">'1PERIODOCONTRALORIA'!H8</f>
        <v>2</v>
      </c>
      <c r="G84" s="19">
        <f ca="1">'1PERIODOCONTRALORIA'!I8</f>
        <v>0</v>
      </c>
      <c r="H84" s="19">
        <f ca="1">'1PERIODOCONTRALORIA'!J8</f>
        <v>0</v>
      </c>
      <c r="I84" s="19">
        <f ca="1">'1PERIODOCONTRALORIA'!K8</f>
        <v>0</v>
      </c>
      <c r="J84" s="19">
        <f ca="1">'1PERIODOCONTRALORIA'!L8</f>
        <v>0</v>
      </c>
      <c r="K84" s="19">
        <f ca="1">'1PERIODOCONTRALORIA'!M8</f>
        <v>30</v>
      </c>
      <c r="L84" s="19">
        <f ca="1">'1PERIODOCONTRALORIA'!N8</f>
        <v>0</v>
      </c>
      <c r="M84" s="19">
        <f ca="1">'1PERIODOCONTRALORIA'!O8</f>
        <v>1</v>
      </c>
      <c r="N84" s="19">
        <f ca="1">'1PERIODOCONTRALORIA'!P8</f>
        <v>0</v>
      </c>
      <c r="O84" s="19">
        <f ca="1">'1PERIODOCONTRALORIA'!Q8</f>
        <v>0</v>
      </c>
      <c r="P84" s="19">
        <f ca="1">'1PERIODOCONTRALORIA'!R8</f>
        <v>0</v>
      </c>
      <c r="Q84" s="21">
        <f ca="1">'1PERIODOCONTRALORIA'!S8</f>
        <v>33</v>
      </c>
    </row>
    <row r="85" spans="1:17" ht="39.75" customHeight="1" thickTop="1" thickBot="1">
      <c r="A85" s="53"/>
      <c r="B85" s="51"/>
      <c r="C85" s="12" t="s">
        <v>126</v>
      </c>
      <c r="D85" s="18">
        <f ca="1">'1PERIODOCONTRALORIA'!F9</f>
        <v>60</v>
      </c>
      <c r="E85" s="19">
        <f ca="1">'1PERIODOCONTRALORIA'!G9</f>
        <v>0</v>
      </c>
      <c r="F85" s="19">
        <f ca="1">'1PERIODOCONTRALORIA'!H9</f>
        <v>1</v>
      </c>
      <c r="G85" s="19">
        <f ca="1">'1PERIODOCONTRALORIA'!I9</f>
        <v>0</v>
      </c>
      <c r="H85" s="19">
        <f ca="1">'1PERIODOCONTRALORIA'!J9</f>
        <v>2</v>
      </c>
      <c r="I85" s="19">
        <f ca="1">'1PERIODOCONTRALORIA'!K9</f>
        <v>0</v>
      </c>
      <c r="J85" s="19">
        <f ca="1">'1PERIODOCONTRALORIA'!L9</f>
        <v>0</v>
      </c>
      <c r="K85" s="19">
        <f ca="1">'1PERIODOCONTRALORIA'!M9</f>
        <v>0</v>
      </c>
      <c r="L85" s="19">
        <f ca="1">'1PERIODOCONTRALORIA'!N9</f>
        <v>0</v>
      </c>
      <c r="M85" s="19">
        <f ca="1">'1PERIODOCONTRALORIA'!O9</f>
        <v>0</v>
      </c>
      <c r="N85" s="19">
        <f ca="1">'1PERIODOCONTRALORIA'!P9</f>
        <v>0</v>
      </c>
      <c r="O85" s="19">
        <f ca="1">'1PERIODOCONTRALORIA'!Q9</f>
        <v>0</v>
      </c>
      <c r="P85" s="19">
        <f ca="1">'1PERIODOCONTRALORIA'!R9</f>
        <v>0</v>
      </c>
      <c r="Q85" s="21">
        <f ca="1">'1PERIODOCONTRALORIA'!S9</f>
        <v>3</v>
      </c>
    </row>
    <row r="86" spans="1:17" ht="39.75" customHeight="1" thickTop="1" thickBot="1">
      <c r="A86" s="53"/>
      <c r="B86" s="52" t="s">
        <v>127</v>
      </c>
      <c r="C86" s="12" t="s">
        <v>128</v>
      </c>
      <c r="D86" s="18">
        <f ca="1">'1PERIODOCONTRALORIA'!F10</f>
        <v>0</v>
      </c>
      <c r="E86" s="19">
        <f ca="1">'1PERIODOCONTRALORIA'!G10</f>
        <v>0</v>
      </c>
      <c r="F86" s="19">
        <f ca="1">'1PERIODOCONTRALORIA'!H10</f>
        <v>0</v>
      </c>
      <c r="G86" s="19">
        <f ca="1">'1PERIODOCONTRALORIA'!I10</f>
        <v>0</v>
      </c>
      <c r="H86" s="19">
        <f ca="1">'1PERIODOCONTRALORIA'!J10</f>
        <v>0</v>
      </c>
      <c r="I86" s="19">
        <f ca="1">'1PERIODOCONTRALORIA'!K10</f>
        <v>0</v>
      </c>
      <c r="J86" s="19">
        <f ca="1">'1PERIODOCONTRALORIA'!L10</f>
        <v>0</v>
      </c>
      <c r="K86" s="19">
        <f ca="1">'1PERIODOCONTRALORIA'!M10</f>
        <v>0</v>
      </c>
      <c r="L86" s="19">
        <f ca="1">'1PERIODOCONTRALORIA'!N10</f>
        <v>0</v>
      </c>
      <c r="M86" s="19">
        <f ca="1">'1PERIODOCONTRALORIA'!O10</f>
        <v>0</v>
      </c>
      <c r="N86" s="19">
        <f ca="1">'1PERIODOCONTRALORIA'!P10</f>
        <v>0</v>
      </c>
      <c r="O86" s="19">
        <f ca="1">'1PERIODOCONTRALORIA'!Q10</f>
        <v>0</v>
      </c>
      <c r="P86" s="19">
        <f ca="1">'1PERIODOCONTRALORIA'!R10</f>
        <v>0</v>
      </c>
      <c r="Q86" s="21">
        <f ca="1">'1PERIODOCONTRALORIA'!S10</f>
        <v>0</v>
      </c>
    </row>
    <row r="87" spans="1:17" ht="39.75" customHeight="1" thickTop="1" thickBot="1">
      <c r="A87" s="53"/>
      <c r="B87" s="53"/>
      <c r="C87" s="12" t="s">
        <v>129</v>
      </c>
      <c r="D87" s="18">
        <f ca="1">'1PERIODOCONTRALORIA'!F11</f>
        <v>0</v>
      </c>
      <c r="E87" s="19">
        <f ca="1">'1PERIODOCONTRALORIA'!G11</f>
        <v>0</v>
      </c>
      <c r="F87" s="19">
        <f ca="1">'1PERIODOCONTRALORIA'!H11</f>
        <v>0</v>
      </c>
      <c r="G87" s="19">
        <f ca="1">'1PERIODOCONTRALORIA'!I11</f>
        <v>0</v>
      </c>
      <c r="H87" s="19">
        <f ca="1">'1PERIODOCONTRALORIA'!J11</f>
        <v>0</v>
      </c>
      <c r="I87" s="19">
        <f ca="1">'1PERIODOCONTRALORIA'!K11</f>
        <v>0</v>
      </c>
      <c r="J87" s="19">
        <f ca="1">'1PERIODOCONTRALORIA'!L11</f>
        <v>0</v>
      </c>
      <c r="K87" s="19">
        <f ca="1">'1PERIODOCONTRALORIA'!M11</f>
        <v>0</v>
      </c>
      <c r="L87" s="19">
        <f ca="1">'1PERIODOCONTRALORIA'!N11</f>
        <v>0</v>
      </c>
      <c r="M87" s="19">
        <f ca="1">'1PERIODOCONTRALORIA'!O11</f>
        <v>0</v>
      </c>
      <c r="N87" s="19">
        <f ca="1">'1PERIODOCONTRALORIA'!P11</f>
        <v>0</v>
      </c>
      <c r="O87" s="19">
        <f ca="1">'1PERIODOCONTRALORIA'!Q11</f>
        <v>0</v>
      </c>
      <c r="P87" s="19">
        <f ca="1">'1PERIODOCONTRALORIA'!R11</f>
        <v>0</v>
      </c>
      <c r="Q87" s="21">
        <f ca="1">'1PERIODOCONTRALORIA'!S11</f>
        <v>0</v>
      </c>
    </row>
    <row r="88" spans="1:17" ht="39.75" customHeight="1" thickTop="1" thickBot="1">
      <c r="A88" s="53"/>
      <c r="B88" s="53"/>
      <c r="C88" s="12" t="s">
        <v>130</v>
      </c>
      <c r="D88" s="18">
        <f ca="1">'1PERIODOCONTRALORIA'!F12</f>
        <v>0</v>
      </c>
      <c r="E88" s="19">
        <f ca="1">'1PERIODOCONTRALORIA'!G12</f>
        <v>0</v>
      </c>
      <c r="F88" s="19">
        <f ca="1">'1PERIODOCONTRALORIA'!H12</f>
        <v>0</v>
      </c>
      <c r="G88" s="19">
        <f ca="1">'1PERIODOCONTRALORIA'!I12</f>
        <v>0</v>
      </c>
      <c r="H88" s="19">
        <f ca="1">'1PERIODOCONTRALORIA'!J12</f>
        <v>0</v>
      </c>
      <c r="I88" s="19">
        <f ca="1">'1PERIODOCONTRALORIA'!K12</f>
        <v>0</v>
      </c>
      <c r="J88" s="19">
        <f ca="1">'1PERIODOCONTRALORIA'!L12</f>
        <v>0</v>
      </c>
      <c r="K88" s="19">
        <f ca="1">'1PERIODOCONTRALORIA'!M12</f>
        <v>0</v>
      </c>
      <c r="L88" s="19">
        <f ca="1">'1PERIODOCONTRALORIA'!N12</f>
        <v>0</v>
      </c>
      <c r="M88" s="19">
        <f ca="1">'1PERIODOCONTRALORIA'!O12</f>
        <v>0</v>
      </c>
      <c r="N88" s="19">
        <f ca="1">'1PERIODOCONTRALORIA'!P12</f>
        <v>0</v>
      </c>
      <c r="O88" s="19">
        <f ca="1">'1PERIODOCONTRALORIA'!Q12</f>
        <v>0</v>
      </c>
      <c r="P88" s="19">
        <f ca="1">'1PERIODOCONTRALORIA'!R12</f>
        <v>0</v>
      </c>
      <c r="Q88" s="21">
        <f ca="1">'1PERIODOCONTRALORIA'!S12</f>
        <v>0</v>
      </c>
    </row>
    <row r="89" spans="1:17" ht="39.75" customHeight="1" thickTop="1" thickBot="1">
      <c r="A89" s="53"/>
      <c r="B89" s="53"/>
      <c r="C89" s="12" t="s">
        <v>131</v>
      </c>
      <c r="D89" s="18">
        <f ca="1">'1PERIODOCONTRALORIA'!F13</f>
        <v>0</v>
      </c>
      <c r="E89" s="19">
        <f ca="1">'1PERIODOCONTRALORIA'!G13</f>
        <v>0</v>
      </c>
      <c r="F89" s="19">
        <f ca="1">'1PERIODOCONTRALORIA'!H13</f>
        <v>0</v>
      </c>
      <c r="G89" s="19">
        <f ca="1">'1PERIODOCONTRALORIA'!I13</f>
        <v>0</v>
      </c>
      <c r="H89" s="19">
        <f ca="1">'1PERIODOCONTRALORIA'!J13</f>
        <v>0</v>
      </c>
      <c r="I89" s="19">
        <f ca="1">'1PERIODOCONTRALORIA'!K13</f>
        <v>0</v>
      </c>
      <c r="J89" s="19">
        <f ca="1">'1PERIODOCONTRALORIA'!L13</f>
        <v>0</v>
      </c>
      <c r="K89" s="19">
        <f ca="1">'1PERIODOCONTRALORIA'!M13</f>
        <v>0</v>
      </c>
      <c r="L89" s="19">
        <f ca="1">'1PERIODOCONTRALORIA'!N13</f>
        <v>0</v>
      </c>
      <c r="M89" s="19">
        <f ca="1">'1PERIODOCONTRALORIA'!O13</f>
        <v>0</v>
      </c>
      <c r="N89" s="19">
        <f ca="1">'1PERIODOCONTRALORIA'!P13</f>
        <v>0</v>
      </c>
      <c r="O89" s="19">
        <f ca="1">'1PERIODOCONTRALORIA'!Q13</f>
        <v>0</v>
      </c>
      <c r="P89" s="19">
        <f ca="1">'1PERIODOCONTRALORIA'!R13</f>
        <v>0</v>
      </c>
      <c r="Q89" s="21">
        <f ca="1">'1PERIODOCONTRALORIA'!S13</f>
        <v>0</v>
      </c>
    </row>
    <row r="90" spans="1:17" ht="39.75" customHeight="1" thickTop="1" thickBot="1">
      <c r="A90" s="53"/>
      <c r="B90" s="51"/>
      <c r="C90" s="12" t="s">
        <v>132</v>
      </c>
      <c r="D90" s="18">
        <f ca="1">'1PERIODOCONTRALORIA'!F14</f>
        <v>0</v>
      </c>
      <c r="E90" s="19">
        <f ca="1">'1PERIODOCONTRALORIA'!G14</f>
        <v>0</v>
      </c>
      <c r="F90" s="19">
        <f ca="1">'1PERIODOCONTRALORIA'!H14</f>
        <v>0</v>
      </c>
      <c r="G90" s="19">
        <f ca="1">'1PERIODOCONTRALORIA'!I14</f>
        <v>0</v>
      </c>
      <c r="H90" s="19">
        <f ca="1">'1PERIODOCONTRALORIA'!J14</f>
        <v>0</v>
      </c>
      <c r="I90" s="19">
        <f ca="1">'1PERIODOCONTRALORIA'!K14</f>
        <v>0</v>
      </c>
      <c r="J90" s="19">
        <f ca="1">'1PERIODOCONTRALORIA'!L14</f>
        <v>0</v>
      </c>
      <c r="K90" s="19">
        <f ca="1">'1PERIODOCONTRALORIA'!M14</f>
        <v>0</v>
      </c>
      <c r="L90" s="19">
        <f ca="1">'1PERIODOCONTRALORIA'!N14</f>
        <v>0</v>
      </c>
      <c r="M90" s="19">
        <f ca="1">'1PERIODOCONTRALORIA'!O14</f>
        <v>0</v>
      </c>
      <c r="N90" s="19">
        <f ca="1">'1PERIODOCONTRALORIA'!P14</f>
        <v>0</v>
      </c>
      <c r="O90" s="19">
        <f ca="1">'1PERIODOCONTRALORIA'!Q14</f>
        <v>0</v>
      </c>
      <c r="P90" s="19">
        <f ca="1">'1PERIODOCONTRALORIA'!R14</f>
        <v>0</v>
      </c>
      <c r="Q90" s="21">
        <f ca="1">'1PERIODOCONTRALORIA'!S14</f>
        <v>0</v>
      </c>
    </row>
    <row r="91" spans="1:17" ht="39.75" customHeight="1" thickTop="1" thickBot="1">
      <c r="A91" s="53"/>
      <c r="B91" s="52" t="s">
        <v>133</v>
      </c>
      <c r="C91" s="12" t="s">
        <v>134</v>
      </c>
      <c r="D91" s="18">
        <f ca="1">'1PERIODOCONTRALORIA'!F15</f>
        <v>104.893617021276</v>
      </c>
      <c r="E91" s="19">
        <f ca="1">'1PERIODOCONTRALORIA'!G15</f>
        <v>4</v>
      </c>
      <c r="F91" s="19">
        <f ca="1">'1PERIODOCONTRALORIA'!H15</f>
        <v>210</v>
      </c>
      <c r="G91" s="19">
        <f ca="1">'1PERIODOCONTRALORIA'!I15</f>
        <v>46</v>
      </c>
      <c r="H91" s="19">
        <f ca="1">'1PERIODOCONTRALORIA'!J15</f>
        <v>76</v>
      </c>
      <c r="I91" s="19">
        <f ca="1">'1PERIODOCONTRALORIA'!K15</f>
        <v>5</v>
      </c>
      <c r="J91" s="19">
        <f ca="1">'1PERIODOCONTRALORIA'!L15</f>
        <v>36</v>
      </c>
      <c r="K91" s="19">
        <f ca="1">'1PERIODOCONTRALORIA'!M15</f>
        <v>14</v>
      </c>
      <c r="L91" s="19">
        <f ca="1">'1PERIODOCONTRALORIA'!N15</f>
        <v>56</v>
      </c>
      <c r="M91" s="19">
        <f ca="1">'1PERIODOCONTRALORIA'!O15</f>
        <v>12</v>
      </c>
      <c r="N91" s="19">
        <f ca="1">'1PERIODOCONTRALORIA'!P15</f>
        <v>2</v>
      </c>
      <c r="O91" s="19">
        <f ca="1">'1PERIODOCONTRALORIA'!Q15</f>
        <v>13</v>
      </c>
      <c r="P91" s="19">
        <f ca="1">'1PERIODOCONTRALORIA'!R15</f>
        <v>19</v>
      </c>
      <c r="Q91" s="21">
        <f ca="1">'1PERIODOCONTRALORIA'!S15</f>
        <v>493</v>
      </c>
    </row>
    <row r="92" spans="1:17" ht="39.75" customHeight="1" thickTop="1" thickBot="1">
      <c r="A92" s="53"/>
      <c r="B92" s="53"/>
      <c r="C92" s="12" t="s">
        <v>135</v>
      </c>
      <c r="D92" s="18">
        <f ca="1">'1PERIODOCONTRALORIA'!F16</f>
        <v>95.199999999999903</v>
      </c>
      <c r="E92" s="19">
        <f ca="1">'1PERIODOCONTRALORIA'!G16</f>
        <v>42</v>
      </c>
      <c r="F92" s="19">
        <f ca="1">'1PERIODOCONTRALORIA'!H16</f>
        <v>97</v>
      </c>
      <c r="G92" s="19">
        <f ca="1">'1PERIODOCONTRALORIA'!I16</f>
        <v>26</v>
      </c>
      <c r="H92" s="19">
        <f ca="1">'1PERIODOCONTRALORIA'!J16</f>
        <v>20</v>
      </c>
      <c r="I92" s="19">
        <f ca="1">'1PERIODOCONTRALORIA'!K16</f>
        <v>0</v>
      </c>
      <c r="J92" s="19">
        <f ca="1">'1PERIODOCONTRALORIA'!L16</f>
        <v>15</v>
      </c>
      <c r="K92" s="19">
        <f ca="1">'1PERIODOCONTRALORIA'!M16</f>
        <v>5</v>
      </c>
      <c r="L92" s="19">
        <f ca="1">'1PERIODOCONTRALORIA'!N16</f>
        <v>10</v>
      </c>
      <c r="M92" s="19">
        <f ca="1">'1PERIODOCONTRALORIA'!O16</f>
        <v>7</v>
      </c>
      <c r="N92" s="19">
        <f ca="1">'1PERIODOCONTRALORIA'!P16</f>
        <v>1</v>
      </c>
      <c r="O92" s="19">
        <f ca="1">'1PERIODOCONTRALORIA'!Q16</f>
        <v>12</v>
      </c>
      <c r="P92" s="19">
        <f ca="1">'1PERIODOCONTRALORIA'!R16</f>
        <v>3</v>
      </c>
      <c r="Q92" s="21">
        <f ca="1">'1PERIODOCONTRALORIA'!S16</f>
        <v>238</v>
      </c>
    </row>
    <row r="93" spans="1:17" ht="39.75" customHeight="1" thickTop="1" thickBot="1">
      <c r="A93" s="53"/>
      <c r="B93" s="53"/>
      <c r="C93" s="12" t="s">
        <v>136</v>
      </c>
      <c r="D93" s="18">
        <f ca="1">'1PERIODOCONTRALORIA'!F17</f>
        <v>90.6666666666666</v>
      </c>
      <c r="E93" s="19">
        <f ca="1">'1PERIODOCONTRALORIA'!G17</f>
        <v>10</v>
      </c>
      <c r="F93" s="19">
        <f ca="1">'1PERIODOCONTRALORIA'!H17</f>
        <v>0</v>
      </c>
      <c r="G93" s="19">
        <f ca="1">'1PERIODOCONTRALORIA'!I17</f>
        <v>36</v>
      </c>
      <c r="H93" s="19">
        <f ca="1">'1PERIODOCONTRALORIA'!J17</f>
        <v>5</v>
      </c>
      <c r="I93" s="19">
        <f ca="1">'1PERIODOCONTRALORIA'!K17</f>
        <v>0</v>
      </c>
      <c r="J93" s="19">
        <f ca="1">'1PERIODOCONTRALORIA'!L17</f>
        <v>8</v>
      </c>
      <c r="K93" s="19">
        <f ca="1">'1PERIODOCONTRALORIA'!M17</f>
        <v>1</v>
      </c>
      <c r="L93" s="19">
        <f ca="1">'1PERIODOCONTRALORIA'!N17</f>
        <v>1</v>
      </c>
      <c r="M93" s="19">
        <f ca="1">'1PERIODOCONTRALORIA'!O17</f>
        <v>0</v>
      </c>
      <c r="N93" s="19">
        <f ca="1">'1PERIODOCONTRALORIA'!P17</f>
        <v>2</v>
      </c>
      <c r="O93" s="19">
        <f ca="1">'1PERIODOCONTRALORIA'!Q17</f>
        <v>1</v>
      </c>
      <c r="P93" s="19">
        <f ca="1">'1PERIODOCONTRALORIA'!R17</f>
        <v>4</v>
      </c>
      <c r="Q93" s="21">
        <f ca="1">'1PERIODOCONTRALORIA'!S17</f>
        <v>68</v>
      </c>
    </row>
    <row r="94" spans="1:17" ht="39.75" customHeight="1" thickTop="1" thickBot="1">
      <c r="A94" s="53"/>
      <c r="B94" s="53"/>
      <c r="C94" s="12" t="s">
        <v>137</v>
      </c>
      <c r="D94" s="18">
        <f ca="1">'1PERIODOCONTRALORIA'!F18</f>
        <v>96.650717703349201</v>
      </c>
      <c r="E94" s="19">
        <f ca="1">'1PERIODOCONTRALORIA'!G18</f>
        <v>89</v>
      </c>
      <c r="F94" s="19">
        <f ca="1">'1PERIODOCONTRALORIA'!H18</f>
        <v>89</v>
      </c>
      <c r="G94" s="19">
        <f ca="1">'1PERIODOCONTRALORIA'!I18</f>
        <v>214</v>
      </c>
      <c r="H94" s="19">
        <f ca="1">'1PERIODOCONTRALORIA'!J18</f>
        <v>0</v>
      </c>
      <c r="I94" s="19">
        <f ca="1">'1PERIODOCONTRALORIA'!K18</f>
        <v>5</v>
      </c>
      <c r="J94" s="19">
        <f ca="1">'1PERIODOCONTRALORIA'!L18</f>
        <v>0</v>
      </c>
      <c r="K94" s="19">
        <f ca="1">'1PERIODOCONTRALORIA'!M18</f>
        <v>3</v>
      </c>
      <c r="L94" s="19">
        <f ca="1">'1PERIODOCONTRALORIA'!N18</f>
        <v>0</v>
      </c>
      <c r="M94" s="19">
        <f ca="1">'1PERIODOCONTRALORIA'!O18</f>
        <v>0</v>
      </c>
      <c r="N94" s="19">
        <f ca="1">'1PERIODOCONTRALORIA'!P18</f>
        <v>0</v>
      </c>
      <c r="O94" s="19">
        <f ca="1">'1PERIODOCONTRALORIA'!Q18</f>
        <v>2</v>
      </c>
      <c r="P94" s="19">
        <f ca="1">'1PERIODOCONTRALORIA'!R18</f>
        <v>2</v>
      </c>
      <c r="Q94" s="21">
        <f ca="1">'1PERIODOCONTRALORIA'!S18</f>
        <v>404</v>
      </c>
    </row>
    <row r="95" spans="1:17" ht="39.75" customHeight="1" thickTop="1" thickBot="1">
      <c r="A95" s="51"/>
      <c r="B95" s="51"/>
      <c r="C95" s="12" t="s">
        <v>138</v>
      </c>
      <c r="D95" s="18">
        <f ca="1">'1PERIODOCONTRALORIA'!F19</f>
        <v>73</v>
      </c>
      <c r="E95" s="19">
        <f ca="1">'1PERIODOCONTRALORIA'!G19</f>
        <v>0</v>
      </c>
      <c r="F95" s="19">
        <f ca="1">'1PERIODOCONTRALORIA'!H19</f>
        <v>0</v>
      </c>
      <c r="G95" s="19">
        <f ca="1">'1PERIODOCONTRALORIA'!I19</f>
        <v>0</v>
      </c>
      <c r="H95" s="19">
        <f ca="1">'1PERIODOCONTRALORIA'!J19</f>
        <v>13</v>
      </c>
      <c r="I95" s="19">
        <f ca="1">'1PERIODOCONTRALORIA'!K19</f>
        <v>0</v>
      </c>
      <c r="J95" s="19">
        <f ca="1">'1PERIODOCONTRALORIA'!L19</f>
        <v>16</v>
      </c>
      <c r="K95" s="19">
        <f ca="1">'1PERIODOCONTRALORIA'!M19</f>
        <v>26</v>
      </c>
      <c r="L95" s="19">
        <f ca="1">'1PERIODOCONTRALORIA'!N19</f>
        <v>15</v>
      </c>
      <c r="M95" s="19">
        <f ca="1">'1PERIODOCONTRALORIA'!O19</f>
        <v>0</v>
      </c>
      <c r="N95" s="19">
        <f ca="1">'1PERIODOCONTRALORIA'!P19</f>
        <v>2</v>
      </c>
      <c r="O95" s="19">
        <f ca="1">'1PERIODOCONTRALORIA'!Q19</f>
        <v>1</v>
      </c>
      <c r="P95" s="19">
        <f ca="1">'1PERIODOCONTRALORIA'!R19</f>
        <v>0</v>
      </c>
      <c r="Q95" s="21">
        <f ca="1">'1PERIODOCONTRALORIA'!S19</f>
        <v>73</v>
      </c>
    </row>
    <row r="96" spans="1:17" ht="39.75" customHeight="1" thickTop="1" thickBot="1">
      <c r="A96" s="55" t="s">
        <v>139</v>
      </c>
      <c r="B96" s="55" t="s">
        <v>140</v>
      </c>
      <c r="C96" s="7" t="s">
        <v>141</v>
      </c>
      <c r="D96" s="18">
        <f ca="1">'1ER PERIODOADMINISTRACION'!F2</f>
        <v>71.428571428571402</v>
      </c>
      <c r="E96" s="19">
        <f ca="1">'1ER PERIODOADMINISTRACION'!G2</f>
        <v>0</v>
      </c>
      <c r="F96" s="19">
        <f ca="1">'1ER PERIODOADMINISTRACION'!H2</f>
        <v>0</v>
      </c>
      <c r="G96" s="19">
        <f ca="1">'1ER PERIODOADMINISTRACION'!I2</f>
        <v>0</v>
      </c>
      <c r="H96" s="19">
        <f ca="1">'1ER PERIODOADMINISTRACION'!J2</f>
        <v>0</v>
      </c>
      <c r="I96" s="19">
        <f ca="1">'1ER PERIODOADMINISTRACION'!K2</f>
        <v>1</v>
      </c>
      <c r="J96" s="19">
        <f ca="1">'1ER PERIODOADMINISTRACION'!L2</f>
        <v>1</v>
      </c>
      <c r="K96" s="19">
        <f ca="1">'1ER PERIODOADMINISTRACION'!M2</f>
        <v>2</v>
      </c>
      <c r="L96" s="19">
        <f ca="1">'1ER PERIODOADMINISTRACION'!N2</f>
        <v>1</v>
      </c>
      <c r="M96" s="19">
        <f ca="1">'1ER PERIODOADMINISTRACION'!O2</f>
        <v>0</v>
      </c>
      <c r="N96" s="19">
        <f ca="1">'1ER PERIODOADMINISTRACION'!P2</f>
        <v>0</v>
      </c>
      <c r="O96" s="19">
        <f ca="1">'1ER PERIODOADMINISTRACION'!Q2</f>
        <v>0</v>
      </c>
      <c r="P96" s="19">
        <f ca="1">'1ER PERIODOADMINISTRACION'!R2</f>
        <v>0</v>
      </c>
      <c r="Q96" s="21">
        <f ca="1">'1ER PERIODOADMINISTRACION'!S2</f>
        <v>5</v>
      </c>
    </row>
    <row r="97" spans="1:17" ht="39.75" customHeight="1" thickTop="1" thickBot="1">
      <c r="A97" s="53"/>
      <c r="B97" s="53"/>
      <c r="C97" s="7" t="s">
        <v>142</v>
      </c>
      <c r="D97" s="18">
        <f ca="1">'1ER PERIODOADMINISTRACION'!F3</f>
        <v>60</v>
      </c>
      <c r="E97" s="19">
        <f ca="1">'1ER PERIODOADMINISTRACION'!G3</f>
        <v>0</v>
      </c>
      <c r="F97" s="19">
        <f ca="1">'1ER PERIODOADMINISTRACION'!H3</f>
        <v>0</v>
      </c>
      <c r="G97" s="19">
        <f ca="1">'1ER PERIODOADMINISTRACION'!I3</f>
        <v>0</v>
      </c>
      <c r="H97" s="19">
        <f ca="1">'1ER PERIODOADMINISTRACION'!J3</f>
        <v>1</v>
      </c>
      <c r="I97" s="19">
        <f ca="1">'1ER PERIODOADMINISTRACION'!K3</f>
        <v>2</v>
      </c>
      <c r="J97" s="19">
        <f ca="1">'1ER PERIODOADMINISTRACION'!L3</f>
        <v>0</v>
      </c>
      <c r="K97" s="19">
        <f ca="1">'1ER PERIODOADMINISTRACION'!M3</f>
        <v>0</v>
      </c>
      <c r="L97" s="19">
        <f ca="1">'1ER PERIODOADMINISTRACION'!N3</f>
        <v>0</v>
      </c>
      <c r="M97" s="19">
        <f ca="1">'1ER PERIODOADMINISTRACION'!O3</f>
        <v>0</v>
      </c>
      <c r="N97" s="19">
        <f ca="1">'1ER PERIODOADMINISTRACION'!P3</f>
        <v>0</v>
      </c>
      <c r="O97" s="19">
        <f ca="1">'1ER PERIODOADMINISTRACION'!Q3</f>
        <v>0</v>
      </c>
      <c r="P97" s="19">
        <f ca="1">'1ER PERIODOADMINISTRACION'!R3</f>
        <v>0</v>
      </c>
      <c r="Q97" s="21">
        <f ca="1">'1ER PERIODOADMINISTRACION'!S3</f>
        <v>3</v>
      </c>
    </row>
    <row r="98" spans="1:17" ht="39.75" customHeight="1" thickTop="1" thickBot="1">
      <c r="A98" s="53"/>
      <c r="B98" s="53"/>
      <c r="C98" s="7" t="s">
        <v>143</v>
      </c>
      <c r="D98" s="18">
        <f ca="1">'1ER PERIODOADMINISTRACION'!F4</f>
        <v>156.962962962962</v>
      </c>
      <c r="E98" s="19">
        <f ca="1">'1ER PERIODOADMINISTRACION'!G4</f>
        <v>267</v>
      </c>
      <c r="F98" s="19">
        <f ca="1">'1ER PERIODOADMINISTRACION'!H4</f>
        <v>250</v>
      </c>
      <c r="G98" s="19">
        <f ca="1">'1ER PERIODOADMINISTRACION'!I4</f>
        <v>0</v>
      </c>
      <c r="H98" s="19">
        <f ca="1">'1ER PERIODOADMINISTRACION'!J4</f>
        <v>299</v>
      </c>
      <c r="I98" s="19">
        <f ca="1">'1ER PERIODOADMINISTRACION'!K4</f>
        <v>527</v>
      </c>
      <c r="J98" s="19">
        <f ca="1">'1ER PERIODOADMINISTRACION'!L4</f>
        <v>0</v>
      </c>
      <c r="K98" s="19">
        <f ca="1">'1ER PERIODOADMINISTRACION'!M4</f>
        <v>165</v>
      </c>
      <c r="L98" s="19">
        <f ca="1">'1ER PERIODOADMINISTRACION'!N4</f>
        <v>587</v>
      </c>
      <c r="M98" s="19">
        <f ca="1">'1ER PERIODOADMINISTRACION'!O4</f>
        <v>503</v>
      </c>
      <c r="N98" s="19">
        <f ca="1">'1ER PERIODOADMINISTRACION'!P4</f>
        <v>544</v>
      </c>
      <c r="O98" s="19">
        <f ca="1">'1ER PERIODOADMINISTRACION'!Q4</f>
        <v>689</v>
      </c>
      <c r="P98" s="19">
        <f ca="1">'1ER PERIODOADMINISTRACION'!R4</f>
        <v>407</v>
      </c>
      <c r="Q98" s="21">
        <f ca="1">'1ER PERIODOADMINISTRACION'!S4</f>
        <v>4238</v>
      </c>
    </row>
    <row r="99" spans="1:17" ht="39.75" customHeight="1" thickTop="1" thickBot="1">
      <c r="A99" s="53"/>
      <c r="B99" s="51"/>
      <c r="C99" s="7" t="s">
        <v>144</v>
      </c>
      <c r="D99" s="18">
        <f ca="1">'1ER PERIODOADMINISTRACION'!F5</f>
        <v>113.85714285714199</v>
      </c>
      <c r="E99" s="19">
        <f ca="1">'1ER PERIODOADMINISTRACION'!G5</f>
        <v>244</v>
      </c>
      <c r="F99" s="19">
        <f ca="1">'1ER PERIODOADMINISTRACION'!H5</f>
        <v>161</v>
      </c>
      <c r="G99" s="19">
        <f ca="1">'1ER PERIODOADMINISTRACION'!I5</f>
        <v>105</v>
      </c>
      <c r="H99" s="19">
        <f ca="1">'1ER PERIODOADMINISTRACION'!J5</f>
        <v>138</v>
      </c>
      <c r="I99" s="19">
        <f ca="1">'1ER PERIODOADMINISTRACION'!K5</f>
        <v>122</v>
      </c>
      <c r="J99" s="19">
        <f ca="1">'1ER PERIODOADMINISTRACION'!L5</f>
        <v>114</v>
      </c>
      <c r="K99" s="19">
        <f ca="1">'1ER PERIODOADMINISTRACION'!M5</f>
        <v>92</v>
      </c>
      <c r="L99" s="19">
        <f ca="1">'1ER PERIODOADMINISTRACION'!N5</f>
        <v>148</v>
      </c>
      <c r="M99" s="19">
        <f ca="1">'1ER PERIODOADMINISTRACION'!O5</f>
        <v>115</v>
      </c>
      <c r="N99" s="19">
        <f ca="1">'1ER PERIODOADMINISTRACION'!P5</f>
        <v>121</v>
      </c>
      <c r="O99" s="19">
        <f ca="1">'1ER PERIODOADMINISTRACION'!Q5</f>
        <v>105</v>
      </c>
      <c r="P99" s="19">
        <f ca="1">'1ER PERIODOADMINISTRACION'!R5</f>
        <v>129</v>
      </c>
      <c r="Q99" s="21">
        <f ca="1">'1ER PERIODOADMINISTRACION'!S5</f>
        <v>1594</v>
      </c>
    </row>
    <row r="100" spans="1:17" ht="39.75" customHeight="1" thickTop="1" thickBot="1">
      <c r="A100" s="53"/>
      <c r="B100" s="55" t="s">
        <v>145</v>
      </c>
      <c r="C100" s="7" t="s">
        <v>146</v>
      </c>
      <c r="D100" s="18">
        <f ca="1">'1ER PERIODOADMINISTRACION'!F6</f>
        <v>20</v>
      </c>
      <c r="E100" s="19">
        <f ca="1">'1ER PERIODOADMINISTRACION'!G6</f>
        <v>0</v>
      </c>
      <c r="F100" s="19">
        <f ca="1">'1ER PERIODOADMINISTRACION'!H6</f>
        <v>0</v>
      </c>
      <c r="G100" s="19">
        <f ca="1">'1ER PERIODOADMINISTRACION'!I6</f>
        <v>2</v>
      </c>
      <c r="H100" s="19">
        <f ca="1">'1ER PERIODOADMINISTRACION'!J6</f>
        <v>0</v>
      </c>
      <c r="I100" s="19">
        <f ca="1">'1ER PERIODOADMINISTRACION'!K6</f>
        <v>0</v>
      </c>
      <c r="J100" s="19">
        <f ca="1">'1ER PERIODOADMINISTRACION'!L6</f>
        <v>1</v>
      </c>
      <c r="K100" s="19">
        <f ca="1">'1ER PERIODOADMINISTRACION'!M6</f>
        <v>0</v>
      </c>
      <c r="L100" s="19">
        <f ca="1">'1ER PERIODOADMINISTRACION'!N6</f>
        <v>0</v>
      </c>
      <c r="M100" s="19">
        <f ca="1">'1ER PERIODOADMINISTRACION'!O6</f>
        <v>0</v>
      </c>
      <c r="N100" s="19">
        <f ca="1">'1ER PERIODOADMINISTRACION'!P6</f>
        <v>0</v>
      </c>
      <c r="O100" s="19">
        <f ca="1">'1ER PERIODOADMINISTRACION'!Q6</f>
        <v>0</v>
      </c>
      <c r="P100" s="19">
        <f ca="1">'1ER PERIODOADMINISTRACION'!R6</f>
        <v>0</v>
      </c>
      <c r="Q100" s="21">
        <f ca="1">'1ER PERIODOADMINISTRACION'!S6</f>
        <v>3</v>
      </c>
    </row>
    <row r="101" spans="1:17" ht="39.75" customHeight="1" thickTop="1" thickBot="1">
      <c r="A101" s="53"/>
      <c r="B101" s="53"/>
      <c r="C101" s="7" t="s">
        <v>147</v>
      </c>
      <c r="D101" s="18">
        <f ca="1">'1ER PERIODOADMINISTRACION'!F7</f>
        <v>320</v>
      </c>
      <c r="E101" s="19">
        <f ca="1">'1ER PERIODOADMINISTRACION'!G7</f>
        <v>5</v>
      </c>
      <c r="F101" s="19">
        <f ca="1">'1ER PERIODOADMINISTRACION'!H7</f>
        <v>8</v>
      </c>
      <c r="G101" s="19">
        <f ca="1">'1ER PERIODOADMINISTRACION'!I7</f>
        <v>0</v>
      </c>
      <c r="H101" s="19">
        <f ca="1">'1ER PERIODOADMINISTRACION'!J7</f>
        <v>0</v>
      </c>
      <c r="I101" s="19">
        <f ca="1">'1ER PERIODOADMINISTRACION'!K7</f>
        <v>2</v>
      </c>
      <c r="J101" s="19">
        <f ca="1">'1ER PERIODOADMINISTRACION'!L7</f>
        <v>0</v>
      </c>
      <c r="K101" s="19">
        <f ca="1">'1ER PERIODOADMINISTRACION'!M7</f>
        <v>1</v>
      </c>
      <c r="L101" s="19">
        <f ca="1">'1ER PERIODOADMINISTRACION'!N7</f>
        <v>0</v>
      </c>
      <c r="M101" s="19">
        <f ca="1">'1ER PERIODOADMINISTRACION'!O7</f>
        <v>0</v>
      </c>
      <c r="N101" s="19">
        <f ca="1">'1ER PERIODOADMINISTRACION'!P7</f>
        <v>0</v>
      </c>
      <c r="O101" s="19">
        <f ca="1">'1ER PERIODOADMINISTRACION'!Q7</f>
        <v>0</v>
      </c>
      <c r="P101" s="19">
        <f ca="1">'1ER PERIODOADMINISTRACION'!R7</f>
        <v>0</v>
      </c>
      <c r="Q101" s="21">
        <f ca="1">'1ER PERIODOADMINISTRACION'!S7</f>
        <v>16</v>
      </c>
    </row>
    <row r="102" spans="1:17" ht="39.75" customHeight="1" thickTop="1" thickBot="1">
      <c r="A102" s="53"/>
      <c r="B102" s="53"/>
      <c r="C102" s="7" t="s">
        <v>148</v>
      </c>
      <c r="D102" s="18">
        <f ca="1">'1ER PERIODOADMINISTRACION'!F8</f>
        <v>283.33333333333297</v>
      </c>
      <c r="E102" s="19">
        <f ca="1">'1ER PERIODOADMINISTRACION'!G8</f>
        <v>13</v>
      </c>
      <c r="F102" s="19">
        <f ca="1">'1ER PERIODOADMINISTRACION'!H8</f>
        <v>0</v>
      </c>
      <c r="G102" s="19">
        <f ca="1">'1ER PERIODOADMINISTRACION'!I8</f>
        <v>0</v>
      </c>
      <c r="H102" s="19">
        <f ca="1">'1ER PERIODOADMINISTRACION'!J8</f>
        <v>0</v>
      </c>
      <c r="I102" s="19">
        <f ca="1">'1ER PERIODOADMINISTRACION'!K8</f>
        <v>0</v>
      </c>
      <c r="J102" s="19">
        <f ca="1">'1ER PERIODOADMINISTRACION'!L8</f>
        <v>1</v>
      </c>
      <c r="K102" s="19">
        <f ca="1">'1ER PERIODOADMINISTRACION'!M8</f>
        <v>1</v>
      </c>
      <c r="L102" s="19">
        <f ca="1">'1ER PERIODOADMINISTRACION'!N8</f>
        <v>1</v>
      </c>
      <c r="M102" s="19">
        <f ca="1">'1ER PERIODOADMINISTRACION'!O8</f>
        <v>1</v>
      </c>
      <c r="N102" s="19">
        <f ca="1">'1ER PERIODOADMINISTRACION'!P8</f>
        <v>0</v>
      </c>
      <c r="O102" s="19">
        <f ca="1">'1ER PERIODOADMINISTRACION'!Q8</f>
        <v>0</v>
      </c>
      <c r="P102" s="19">
        <f ca="1">'1ER PERIODOADMINISTRACION'!R8</f>
        <v>0</v>
      </c>
      <c r="Q102" s="21">
        <f ca="1">'1ER PERIODOADMINISTRACION'!S8</f>
        <v>17</v>
      </c>
    </row>
    <row r="103" spans="1:17" ht="39.75" customHeight="1" thickTop="1" thickBot="1">
      <c r="A103" s="53"/>
      <c r="B103" s="53"/>
      <c r="C103" s="7" t="s">
        <v>149</v>
      </c>
      <c r="D103" s="18">
        <f ca="1">'1ER PERIODOADMINISTRACION'!F9</f>
        <v>50</v>
      </c>
      <c r="E103" s="19">
        <f ca="1">'1ER PERIODOADMINISTRACION'!G9</f>
        <v>0</v>
      </c>
      <c r="F103" s="19">
        <f ca="1">'1ER PERIODOADMINISTRACION'!H9</f>
        <v>0</v>
      </c>
      <c r="G103" s="19">
        <f ca="1">'1ER PERIODOADMINISTRACION'!I9</f>
        <v>0</v>
      </c>
      <c r="H103" s="19">
        <f ca="1">'1ER PERIODOADMINISTRACION'!J9</f>
        <v>0</v>
      </c>
      <c r="I103" s="19">
        <f ca="1">'1ER PERIODOADMINISTRACION'!K9</f>
        <v>0</v>
      </c>
      <c r="J103" s="19">
        <f ca="1">'1ER PERIODOADMINISTRACION'!L9</f>
        <v>0</v>
      </c>
      <c r="K103" s="19">
        <f ca="1">'1ER PERIODOADMINISTRACION'!M9</f>
        <v>0</v>
      </c>
      <c r="L103" s="19">
        <f ca="1">'1ER PERIODOADMINISTRACION'!N9</f>
        <v>0</v>
      </c>
      <c r="M103" s="19">
        <f ca="1">'1ER PERIODOADMINISTRACION'!O9</f>
        <v>0</v>
      </c>
      <c r="N103" s="19">
        <f ca="1">'1ER PERIODOADMINISTRACION'!P9</f>
        <v>0</v>
      </c>
      <c r="O103" s="19">
        <f ca="1">'1ER PERIODOADMINISTRACION'!Q9</f>
        <v>1</v>
      </c>
      <c r="P103" s="19">
        <f ca="1">'1ER PERIODOADMINISTRACION'!R9</f>
        <v>0</v>
      </c>
      <c r="Q103" s="21">
        <f ca="1">'1ER PERIODOADMINISTRACION'!S9</f>
        <v>1</v>
      </c>
    </row>
    <row r="104" spans="1:17" ht="39.75" customHeight="1" thickTop="1" thickBot="1">
      <c r="A104" s="53"/>
      <c r="B104" s="53"/>
      <c r="C104" s="7" t="s">
        <v>150</v>
      </c>
      <c r="D104" s="18">
        <f ca="1">'1ER PERIODOADMINISTRACION'!F10</f>
        <v>0</v>
      </c>
      <c r="E104" s="19">
        <f ca="1">'1ER PERIODOADMINISTRACION'!G10</f>
        <v>0</v>
      </c>
      <c r="F104" s="19">
        <f ca="1">'1ER PERIODOADMINISTRACION'!H10</f>
        <v>0</v>
      </c>
      <c r="G104" s="19">
        <f ca="1">'1ER PERIODOADMINISTRACION'!I10</f>
        <v>0</v>
      </c>
      <c r="H104" s="19">
        <f ca="1">'1ER PERIODOADMINISTRACION'!J10</f>
        <v>0</v>
      </c>
      <c r="I104" s="19">
        <f ca="1">'1ER PERIODOADMINISTRACION'!K10</f>
        <v>0</v>
      </c>
      <c r="J104" s="19">
        <f ca="1">'1ER PERIODOADMINISTRACION'!L10</f>
        <v>0</v>
      </c>
      <c r="K104" s="19">
        <f ca="1">'1ER PERIODOADMINISTRACION'!M10</f>
        <v>0</v>
      </c>
      <c r="L104" s="19">
        <f ca="1">'1ER PERIODOADMINISTRACION'!N10</f>
        <v>0</v>
      </c>
      <c r="M104" s="19">
        <f ca="1">'1ER PERIODOADMINISTRACION'!O10</f>
        <v>0</v>
      </c>
      <c r="N104" s="19">
        <f ca="1">'1ER PERIODOADMINISTRACION'!P10</f>
        <v>0</v>
      </c>
      <c r="O104" s="19">
        <f ca="1">'1ER PERIODOADMINISTRACION'!Q10</f>
        <v>0</v>
      </c>
      <c r="P104" s="19">
        <f ca="1">'1ER PERIODOADMINISTRACION'!R10</f>
        <v>0</v>
      </c>
      <c r="Q104" s="21">
        <f ca="1">'1ER PERIODOADMINISTRACION'!S10</f>
        <v>0</v>
      </c>
    </row>
    <row r="105" spans="1:17" ht="39.75" customHeight="1" thickTop="1" thickBot="1">
      <c r="A105" s="53"/>
      <c r="B105" s="53"/>
      <c r="C105" s="7" t="s">
        <v>151</v>
      </c>
      <c r="D105" s="18">
        <f ca="1">'1ER PERIODOADMINISTRACION'!F11</f>
        <v>200</v>
      </c>
      <c r="E105" s="19">
        <f ca="1">'1ER PERIODOADMINISTRACION'!G11</f>
        <v>0</v>
      </c>
      <c r="F105" s="19">
        <f ca="1">'1ER PERIODOADMINISTRACION'!H11</f>
        <v>0</v>
      </c>
      <c r="G105" s="19">
        <f ca="1">'1ER PERIODOADMINISTRACION'!I11</f>
        <v>0</v>
      </c>
      <c r="H105" s="19">
        <f ca="1">'1ER PERIODOADMINISTRACION'!J11</f>
        <v>0</v>
      </c>
      <c r="I105" s="19">
        <f ca="1">'1ER PERIODOADMINISTRACION'!K11</f>
        <v>0</v>
      </c>
      <c r="J105" s="19">
        <f ca="1">'1ER PERIODOADMINISTRACION'!L11</f>
        <v>0</v>
      </c>
      <c r="K105" s="19">
        <f ca="1">'1ER PERIODOADMINISTRACION'!M11</f>
        <v>0</v>
      </c>
      <c r="L105" s="19">
        <f ca="1">'1ER PERIODOADMINISTRACION'!N11</f>
        <v>0</v>
      </c>
      <c r="M105" s="19">
        <f ca="1">'1ER PERIODOADMINISTRACION'!O11</f>
        <v>0</v>
      </c>
      <c r="N105" s="19">
        <f ca="1">'1ER PERIODOADMINISTRACION'!P11</f>
        <v>0</v>
      </c>
      <c r="O105" s="19">
        <f ca="1">'1ER PERIODOADMINISTRACION'!Q11</f>
        <v>2</v>
      </c>
      <c r="P105" s="19">
        <f ca="1">'1ER PERIODOADMINISTRACION'!R11</f>
        <v>0</v>
      </c>
      <c r="Q105" s="21">
        <f ca="1">'1ER PERIODOADMINISTRACION'!S11</f>
        <v>2</v>
      </c>
    </row>
    <row r="106" spans="1:17" ht="39.75" customHeight="1" thickTop="1" thickBot="1">
      <c r="A106" s="53"/>
      <c r="B106" s="53"/>
      <c r="C106" s="7" t="s">
        <v>152</v>
      </c>
      <c r="D106" s="18">
        <f ca="1">'1ER PERIODOADMINISTRACION'!F12</f>
        <v>0</v>
      </c>
      <c r="E106" s="19">
        <f ca="1">'1ER PERIODOADMINISTRACION'!G12</f>
        <v>0</v>
      </c>
      <c r="F106" s="19">
        <f ca="1">'1ER PERIODOADMINISTRACION'!H12</f>
        <v>0</v>
      </c>
      <c r="G106" s="19">
        <f ca="1">'1ER PERIODOADMINISTRACION'!I12</f>
        <v>0</v>
      </c>
      <c r="H106" s="19">
        <f ca="1">'1ER PERIODOADMINISTRACION'!J12</f>
        <v>0</v>
      </c>
      <c r="I106" s="19">
        <f ca="1">'1ER PERIODOADMINISTRACION'!K12</f>
        <v>0</v>
      </c>
      <c r="J106" s="19">
        <f ca="1">'1ER PERIODOADMINISTRACION'!L12</f>
        <v>0</v>
      </c>
      <c r="K106" s="19">
        <f ca="1">'1ER PERIODOADMINISTRACION'!M12</f>
        <v>0</v>
      </c>
      <c r="L106" s="19">
        <f ca="1">'1ER PERIODOADMINISTRACION'!N12</f>
        <v>0</v>
      </c>
      <c r="M106" s="19">
        <f ca="1">'1ER PERIODOADMINISTRACION'!O12</f>
        <v>0</v>
      </c>
      <c r="N106" s="19">
        <f ca="1">'1ER PERIODOADMINISTRACION'!P12</f>
        <v>0</v>
      </c>
      <c r="O106" s="19">
        <f ca="1">'1ER PERIODOADMINISTRACION'!Q12</f>
        <v>0</v>
      </c>
      <c r="P106" s="19">
        <f ca="1">'1ER PERIODOADMINISTRACION'!R12</f>
        <v>0</v>
      </c>
      <c r="Q106" s="21">
        <f ca="1">'1ER PERIODOADMINISTRACION'!S12</f>
        <v>0</v>
      </c>
    </row>
    <row r="107" spans="1:17" ht="39.75" customHeight="1" thickTop="1" thickBot="1">
      <c r="A107" s="53"/>
      <c r="B107" s="53"/>
      <c r="C107" s="7" t="s">
        <v>153</v>
      </c>
      <c r="D107" s="18">
        <f ca="1">'1ER PERIODOADMINISTRACION'!F13</f>
        <v>0</v>
      </c>
      <c r="E107" s="19">
        <f ca="1">'1ER PERIODOADMINISTRACION'!G13</f>
        <v>0</v>
      </c>
      <c r="F107" s="19">
        <f ca="1">'1ER PERIODOADMINISTRACION'!H13</f>
        <v>0</v>
      </c>
      <c r="G107" s="19">
        <f ca="1">'1ER PERIODOADMINISTRACION'!I13</f>
        <v>0</v>
      </c>
      <c r="H107" s="19">
        <f ca="1">'1ER PERIODOADMINISTRACION'!J13</f>
        <v>0</v>
      </c>
      <c r="I107" s="19">
        <f ca="1">'1ER PERIODOADMINISTRACION'!K13</f>
        <v>0</v>
      </c>
      <c r="J107" s="19">
        <f ca="1">'1ER PERIODOADMINISTRACION'!L13</f>
        <v>0</v>
      </c>
      <c r="K107" s="19">
        <f ca="1">'1ER PERIODOADMINISTRACION'!M13</f>
        <v>0</v>
      </c>
      <c r="L107" s="19">
        <f ca="1">'1ER PERIODOADMINISTRACION'!N13</f>
        <v>0</v>
      </c>
      <c r="M107" s="19">
        <f ca="1">'1ER PERIODOADMINISTRACION'!O13</f>
        <v>0</v>
      </c>
      <c r="N107" s="19">
        <f ca="1">'1ER PERIODOADMINISTRACION'!P13</f>
        <v>0</v>
      </c>
      <c r="O107" s="19">
        <f ca="1">'1ER PERIODOADMINISTRACION'!Q13</f>
        <v>0</v>
      </c>
      <c r="P107" s="19">
        <f ca="1">'1ER PERIODOADMINISTRACION'!R13</f>
        <v>0</v>
      </c>
      <c r="Q107" s="21">
        <f ca="1">'1ER PERIODOADMINISTRACION'!S13</f>
        <v>0</v>
      </c>
    </row>
    <row r="108" spans="1:17" ht="39.75" customHeight="1" thickTop="1" thickBot="1">
      <c r="A108" s="53"/>
      <c r="B108" s="53"/>
      <c r="C108" s="7" t="s">
        <v>154</v>
      </c>
      <c r="D108" s="18">
        <f ca="1">'1ER PERIODOADMINISTRACION'!F14</f>
        <v>127.49999999999901</v>
      </c>
      <c r="E108" s="19">
        <f ca="1">'1ER PERIODOADMINISTRACION'!G14</f>
        <v>8</v>
      </c>
      <c r="F108" s="19">
        <f ca="1">'1ER PERIODOADMINISTRACION'!H14</f>
        <v>8</v>
      </c>
      <c r="G108" s="19">
        <f ca="1">'1ER PERIODOADMINISTRACION'!I14</f>
        <v>0</v>
      </c>
      <c r="H108" s="19">
        <f ca="1">'1ER PERIODOADMINISTRACION'!J14</f>
        <v>5</v>
      </c>
      <c r="I108" s="19">
        <f ca="1">'1ER PERIODOADMINISTRACION'!K14</f>
        <v>20</v>
      </c>
      <c r="J108" s="19">
        <f ca="1">'1ER PERIODOADMINISTRACION'!L14</f>
        <v>6</v>
      </c>
      <c r="K108" s="19">
        <f ca="1">'1ER PERIODOADMINISTRACION'!M14</f>
        <v>2</v>
      </c>
      <c r="L108" s="19">
        <f ca="1">'1ER PERIODOADMINISTRACION'!N14</f>
        <v>1</v>
      </c>
      <c r="M108" s="19">
        <f ca="1">'1ER PERIODOADMINISTRACION'!O14</f>
        <v>1</v>
      </c>
      <c r="N108" s="19">
        <f ca="1">'1ER PERIODOADMINISTRACION'!P14</f>
        <v>0</v>
      </c>
      <c r="O108" s="19">
        <f ca="1">'1ER PERIODOADMINISTRACION'!Q14</f>
        <v>0</v>
      </c>
      <c r="P108" s="19">
        <f ca="1">'1ER PERIODOADMINISTRACION'!R14</f>
        <v>0</v>
      </c>
      <c r="Q108" s="21">
        <f ca="1">'1ER PERIODOADMINISTRACION'!S14</f>
        <v>51</v>
      </c>
    </row>
    <row r="109" spans="1:17" ht="39.75" customHeight="1" thickTop="1" thickBot="1">
      <c r="A109" s="53"/>
      <c r="B109" s="53"/>
      <c r="C109" s="7" t="s">
        <v>155</v>
      </c>
      <c r="D109" s="18">
        <f ca="1">'1ER PERIODOADMINISTRACION'!F15</f>
        <v>98.536585365853597</v>
      </c>
      <c r="E109" s="19">
        <f ca="1">'1ER PERIODOADMINISTRACION'!G15</f>
        <v>0</v>
      </c>
      <c r="F109" s="19">
        <f ca="1">'1ER PERIODOADMINISTRACION'!H15</f>
        <v>0</v>
      </c>
      <c r="G109" s="19">
        <f ca="1">'1ER PERIODOADMINISTRACION'!I15</f>
        <v>0</v>
      </c>
      <c r="H109" s="19">
        <f ca="1">'1ER PERIODOADMINISTRACION'!J15</f>
        <v>0</v>
      </c>
      <c r="I109" s="19">
        <f ca="1">'1ER PERIODOADMINISTRACION'!K15</f>
        <v>0</v>
      </c>
      <c r="J109" s="19">
        <f ca="1">'1ER PERIODOADMINISTRACION'!L15</f>
        <v>202</v>
      </c>
      <c r="K109" s="19">
        <f ca="1">'1ER PERIODOADMINISTRACION'!M15</f>
        <v>0</v>
      </c>
      <c r="L109" s="19">
        <f ca="1">'1ER PERIODOADMINISTRACION'!N15</f>
        <v>0</v>
      </c>
      <c r="M109" s="19">
        <f ca="1">'1ER PERIODOADMINISTRACION'!O15</f>
        <v>0</v>
      </c>
      <c r="N109" s="19">
        <f ca="1">'1ER PERIODOADMINISTRACION'!P15</f>
        <v>0</v>
      </c>
      <c r="O109" s="19">
        <f ca="1">'1ER PERIODOADMINISTRACION'!Q15</f>
        <v>0</v>
      </c>
      <c r="P109" s="19">
        <f ca="1">'1ER PERIODOADMINISTRACION'!R15</f>
        <v>0</v>
      </c>
      <c r="Q109" s="21">
        <f ca="1">'1ER PERIODOADMINISTRACION'!S15</f>
        <v>202</v>
      </c>
    </row>
    <row r="110" spans="1:17" ht="39.75" customHeight="1" thickTop="1" thickBot="1">
      <c r="A110" s="53"/>
      <c r="B110" s="53"/>
      <c r="C110" s="7" t="s">
        <v>156</v>
      </c>
      <c r="D110" s="18">
        <f ca="1">'1ER PERIODOADMINISTRACION'!F16</f>
        <v>0</v>
      </c>
      <c r="E110" s="19">
        <f ca="1">'1ER PERIODOADMINISTRACION'!G16</f>
        <v>0</v>
      </c>
      <c r="F110" s="19">
        <f ca="1">'1ER PERIODOADMINISTRACION'!H16</f>
        <v>0</v>
      </c>
      <c r="G110" s="19">
        <f ca="1">'1ER PERIODOADMINISTRACION'!I16</f>
        <v>0</v>
      </c>
      <c r="H110" s="19">
        <f ca="1">'1ER PERIODOADMINISTRACION'!J16</f>
        <v>0</v>
      </c>
      <c r="I110" s="19">
        <f ca="1">'1ER PERIODOADMINISTRACION'!K16</f>
        <v>0</v>
      </c>
      <c r="J110" s="19">
        <f ca="1">'1ER PERIODOADMINISTRACION'!L16</f>
        <v>0</v>
      </c>
      <c r="K110" s="19">
        <f ca="1">'1ER PERIODOADMINISTRACION'!M16</f>
        <v>0</v>
      </c>
      <c r="L110" s="19">
        <f ca="1">'1ER PERIODOADMINISTRACION'!N16</f>
        <v>0</v>
      </c>
      <c r="M110" s="19">
        <f ca="1">'1ER PERIODOADMINISTRACION'!O16</f>
        <v>0</v>
      </c>
      <c r="N110" s="19">
        <f ca="1">'1ER PERIODOADMINISTRACION'!P16</f>
        <v>0</v>
      </c>
      <c r="O110" s="19">
        <f ca="1">'1ER PERIODOADMINISTRACION'!Q16</f>
        <v>0</v>
      </c>
      <c r="P110" s="19">
        <f ca="1">'1ER PERIODOADMINISTRACION'!R16</f>
        <v>0</v>
      </c>
      <c r="Q110" s="21">
        <f ca="1">'1ER PERIODOADMINISTRACION'!S16</f>
        <v>0</v>
      </c>
    </row>
    <row r="111" spans="1:17" ht="39.75" customHeight="1" thickTop="1" thickBot="1">
      <c r="A111" s="53"/>
      <c r="B111" s="53"/>
      <c r="C111" s="7" t="s">
        <v>157</v>
      </c>
      <c r="D111" s="18">
        <f ca="1">'1ER PERIODOADMINISTRACION'!F17</f>
        <v>50</v>
      </c>
      <c r="E111" s="19">
        <f ca="1">'1ER PERIODOADMINISTRACION'!G17</f>
        <v>0</v>
      </c>
      <c r="F111" s="19">
        <f ca="1">'1ER PERIODOADMINISTRACION'!H17</f>
        <v>0</v>
      </c>
      <c r="G111" s="19">
        <f ca="1">'1ER PERIODOADMINISTRACION'!I17</f>
        <v>0</v>
      </c>
      <c r="H111" s="19">
        <f ca="1">'1ER PERIODOADMINISTRACION'!J17</f>
        <v>0</v>
      </c>
      <c r="I111" s="19">
        <f ca="1">'1ER PERIODOADMINISTRACION'!K17</f>
        <v>1</v>
      </c>
      <c r="J111" s="19">
        <f ca="1">'1ER PERIODOADMINISTRACION'!L17</f>
        <v>1</v>
      </c>
      <c r="K111" s="19">
        <f ca="1">'1ER PERIODOADMINISTRACION'!M17</f>
        <v>2</v>
      </c>
      <c r="L111" s="19">
        <f ca="1">'1ER PERIODOADMINISTRACION'!N17</f>
        <v>1</v>
      </c>
      <c r="M111" s="19">
        <f ca="1">'1ER PERIODOADMINISTRACION'!O17</f>
        <v>0</v>
      </c>
      <c r="N111" s="19">
        <f ca="1">'1ER PERIODOADMINISTRACION'!P17</f>
        <v>0</v>
      </c>
      <c r="O111" s="19">
        <f ca="1">'1ER PERIODOADMINISTRACION'!Q17</f>
        <v>0</v>
      </c>
      <c r="P111" s="19">
        <f ca="1">'1ER PERIODOADMINISTRACION'!R17</f>
        <v>0</v>
      </c>
      <c r="Q111" s="21">
        <f ca="1">'1ER PERIODOADMINISTRACION'!S17</f>
        <v>5</v>
      </c>
    </row>
    <row r="112" spans="1:17" ht="39.75" customHeight="1" thickTop="1" thickBot="1">
      <c r="A112" s="53"/>
      <c r="B112" s="53"/>
      <c r="C112" s="7" t="s">
        <v>158</v>
      </c>
      <c r="D112" s="18">
        <f ca="1">'1ER PERIODOADMINISTRACION'!F18</f>
        <v>0</v>
      </c>
      <c r="E112" s="19">
        <f ca="1">'1ER PERIODOADMINISTRACION'!G18</f>
        <v>0</v>
      </c>
      <c r="F112" s="19">
        <f ca="1">'1ER PERIODOADMINISTRACION'!H18</f>
        <v>0</v>
      </c>
      <c r="G112" s="19">
        <f ca="1">'1ER PERIODOADMINISTRACION'!I18</f>
        <v>0</v>
      </c>
      <c r="H112" s="19">
        <f ca="1">'1ER PERIODOADMINISTRACION'!J18</f>
        <v>0</v>
      </c>
      <c r="I112" s="19">
        <f ca="1">'1ER PERIODOADMINISTRACION'!K18</f>
        <v>0</v>
      </c>
      <c r="J112" s="19">
        <f ca="1">'1ER PERIODOADMINISTRACION'!L18</f>
        <v>0</v>
      </c>
      <c r="K112" s="19">
        <f ca="1">'1ER PERIODOADMINISTRACION'!M18</f>
        <v>0</v>
      </c>
      <c r="L112" s="19">
        <f ca="1">'1ER PERIODOADMINISTRACION'!N18</f>
        <v>0</v>
      </c>
      <c r="M112" s="19">
        <f ca="1">'1ER PERIODOADMINISTRACION'!O18</f>
        <v>0</v>
      </c>
      <c r="N112" s="19">
        <f ca="1">'1ER PERIODOADMINISTRACION'!P18</f>
        <v>0</v>
      </c>
      <c r="O112" s="19">
        <f ca="1">'1ER PERIODOADMINISTRACION'!Q18</f>
        <v>0</v>
      </c>
      <c r="P112" s="19">
        <f ca="1">'1ER PERIODOADMINISTRACION'!R18</f>
        <v>0</v>
      </c>
      <c r="Q112" s="21">
        <f ca="1">'1ER PERIODOADMINISTRACION'!S18</f>
        <v>0</v>
      </c>
    </row>
    <row r="113" spans="1:17" ht="39.75" customHeight="1" thickTop="1" thickBot="1">
      <c r="A113" s="53"/>
      <c r="B113" s="53"/>
      <c r="C113" s="7" t="s">
        <v>159</v>
      </c>
      <c r="D113" s="18">
        <f ca="1">'1ER PERIODOADMINISTRACION'!F19</f>
        <v>0</v>
      </c>
      <c r="E113" s="19">
        <f ca="1">'1ER PERIODOADMINISTRACION'!G19</f>
        <v>0</v>
      </c>
      <c r="F113" s="19">
        <f ca="1">'1ER PERIODOADMINISTRACION'!H19</f>
        <v>0</v>
      </c>
      <c r="G113" s="19">
        <f ca="1">'1ER PERIODOADMINISTRACION'!I19</f>
        <v>0</v>
      </c>
      <c r="H113" s="19">
        <f ca="1">'1ER PERIODOADMINISTRACION'!J19</f>
        <v>0</v>
      </c>
      <c r="I113" s="19">
        <f ca="1">'1ER PERIODOADMINISTRACION'!K19</f>
        <v>0</v>
      </c>
      <c r="J113" s="19">
        <f ca="1">'1ER PERIODOADMINISTRACION'!L19</f>
        <v>0</v>
      </c>
      <c r="K113" s="19">
        <f ca="1">'1ER PERIODOADMINISTRACION'!M19</f>
        <v>0</v>
      </c>
      <c r="L113" s="19">
        <f ca="1">'1ER PERIODOADMINISTRACION'!N19</f>
        <v>0</v>
      </c>
      <c r="M113" s="19">
        <f ca="1">'1ER PERIODOADMINISTRACION'!O19</f>
        <v>0</v>
      </c>
      <c r="N113" s="19">
        <f ca="1">'1ER PERIODOADMINISTRACION'!P19</f>
        <v>0</v>
      </c>
      <c r="O113" s="19">
        <f ca="1">'1ER PERIODOADMINISTRACION'!Q19</f>
        <v>0</v>
      </c>
      <c r="P113" s="19">
        <f ca="1">'1ER PERIODOADMINISTRACION'!R19</f>
        <v>0</v>
      </c>
      <c r="Q113" s="21">
        <f ca="1">'1ER PERIODOADMINISTRACION'!S19</f>
        <v>0</v>
      </c>
    </row>
    <row r="114" spans="1:17" ht="39.75" customHeight="1" thickTop="1" thickBot="1">
      <c r="A114" s="53"/>
      <c r="B114" s="53"/>
      <c r="C114" s="7" t="s">
        <v>160</v>
      </c>
      <c r="D114" s="18">
        <f ca="1">'1ER PERIODOADMINISTRACION'!F20</f>
        <v>100</v>
      </c>
      <c r="E114" s="19">
        <f ca="1">'1ER PERIODOADMINISTRACION'!G20</f>
        <v>0</v>
      </c>
      <c r="F114" s="19">
        <f ca="1">'1ER PERIODOADMINISTRACION'!H20</f>
        <v>0</v>
      </c>
      <c r="G114" s="19">
        <f ca="1">'1ER PERIODOADMINISTRACION'!I20</f>
        <v>0</v>
      </c>
      <c r="H114" s="19">
        <f ca="1">'1ER PERIODOADMINISTRACION'!J20</f>
        <v>1</v>
      </c>
      <c r="I114" s="19">
        <f ca="1">'1ER PERIODOADMINISTRACION'!K20</f>
        <v>0</v>
      </c>
      <c r="J114" s="19">
        <f ca="1">'1ER PERIODOADMINISTRACION'!L20</f>
        <v>0</v>
      </c>
      <c r="K114" s="19">
        <f ca="1">'1ER PERIODOADMINISTRACION'!M20</f>
        <v>0</v>
      </c>
      <c r="L114" s="19">
        <f ca="1">'1ER PERIODOADMINISTRACION'!N20</f>
        <v>0</v>
      </c>
      <c r="M114" s="19">
        <f ca="1">'1ER PERIODOADMINISTRACION'!O20</f>
        <v>1</v>
      </c>
      <c r="N114" s="19">
        <f ca="1">'1ER PERIODOADMINISTRACION'!P20</f>
        <v>0</v>
      </c>
      <c r="O114" s="19">
        <f ca="1">'1ER PERIODOADMINISTRACION'!Q20</f>
        <v>0</v>
      </c>
      <c r="P114" s="19">
        <f ca="1">'1ER PERIODOADMINISTRACION'!R20</f>
        <v>1</v>
      </c>
      <c r="Q114" s="21">
        <f ca="1">'1ER PERIODOADMINISTRACION'!S20</f>
        <v>3</v>
      </c>
    </row>
    <row r="115" spans="1:17" ht="39.75" customHeight="1" thickTop="1" thickBot="1">
      <c r="A115" s="53"/>
      <c r="B115" s="53"/>
      <c r="C115" s="7" t="s">
        <v>161</v>
      </c>
      <c r="D115" s="18">
        <f ca="1">'1ER PERIODOADMINISTRACION'!F21</f>
        <v>0</v>
      </c>
      <c r="E115" s="19">
        <f ca="1">'1ER PERIODOADMINISTRACION'!G21</f>
        <v>0</v>
      </c>
      <c r="F115" s="19">
        <f ca="1">'1ER PERIODOADMINISTRACION'!H21</f>
        <v>0</v>
      </c>
      <c r="G115" s="19">
        <f ca="1">'1ER PERIODOADMINISTRACION'!I21</f>
        <v>0</v>
      </c>
      <c r="H115" s="19">
        <f ca="1">'1ER PERIODOADMINISTRACION'!J21</f>
        <v>0</v>
      </c>
      <c r="I115" s="19">
        <f ca="1">'1ER PERIODOADMINISTRACION'!K21</f>
        <v>0</v>
      </c>
      <c r="J115" s="19">
        <f ca="1">'1ER PERIODOADMINISTRACION'!L21</f>
        <v>0</v>
      </c>
      <c r="K115" s="19">
        <f ca="1">'1ER PERIODOADMINISTRACION'!M21</f>
        <v>0</v>
      </c>
      <c r="L115" s="19">
        <f ca="1">'1ER PERIODOADMINISTRACION'!N21</f>
        <v>0</v>
      </c>
      <c r="M115" s="19">
        <f ca="1">'1ER PERIODOADMINISTRACION'!O21</f>
        <v>0</v>
      </c>
      <c r="N115" s="19">
        <f ca="1">'1ER PERIODOADMINISTRACION'!P21</f>
        <v>0</v>
      </c>
      <c r="O115" s="19">
        <f ca="1">'1ER PERIODOADMINISTRACION'!Q21</f>
        <v>0</v>
      </c>
      <c r="P115" s="19">
        <f ca="1">'1ER PERIODOADMINISTRACION'!R21</f>
        <v>0</v>
      </c>
      <c r="Q115" s="21">
        <f ca="1">'1ER PERIODOADMINISTRACION'!S21</f>
        <v>0</v>
      </c>
    </row>
    <row r="116" spans="1:17" ht="39.75" customHeight="1" thickTop="1" thickBot="1">
      <c r="A116" s="53"/>
      <c r="B116" s="53"/>
      <c r="C116" s="7" t="s">
        <v>162</v>
      </c>
      <c r="D116" s="18">
        <f ca="1">'1ER PERIODOADMINISTRACION'!F22</f>
        <v>127.586206896551</v>
      </c>
      <c r="E116" s="19">
        <f ca="1">'1ER PERIODOADMINISTRACION'!G22</f>
        <v>0</v>
      </c>
      <c r="F116" s="19">
        <f ca="1">'1ER PERIODOADMINISTRACION'!H22</f>
        <v>0</v>
      </c>
      <c r="G116" s="19">
        <f ca="1">'1ER PERIODOADMINISTRACION'!I22</f>
        <v>0</v>
      </c>
      <c r="H116" s="19">
        <f ca="1">'1ER PERIODOADMINISTRACION'!J22</f>
        <v>23</v>
      </c>
      <c r="I116" s="19">
        <f ca="1">'1ER PERIODOADMINISTRACION'!K22</f>
        <v>0</v>
      </c>
      <c r="J116" s="19">
        <f ca="1">'1ER PERIODOADMINISTRACION'!L22</f>
        <v>1</v>
      </c>
      <c r="K116" s="19">
        <f ca="1">'1ER PERIODOADMINISTRACION'!M22</f>
        <v>1</v>
      </c>
      <c r="L116" s="19">
        <f ca="1">'1ER PERIODOADMINISTRACION'!N22</f>
        <v>5</v>
      </c>
      <c r="M116" s="19">
        <f ca="1">'1ER PERIODOADMINISTRACION'!O22</f>
        <v>25</v>
      </c>
      <c r="N116" s="19">
        <f ca="1">'1ER PERIODOADMINISTRACION'!P22</f>
        <v>0</v>
      </c>
      <c r="O116" s="19">
        <f ca="1">'1ER PERIODOADMINISTRACION'!Q22</f>
        <v>19</v>
      </c>
      <c r="P116" s="19">
        <f ca="1">'1ER PERIODOADMINISTRACION'!R22</f>
        <v>0</v>
      </c>
      <c r="Q116" s="21">
        <f ca="1">'1ER PERIODOADMINISTRACION'!S22</f>
        <v>74</v>
      </c>
    </row>
    <row r="117" spans="1:17" ht="39.75" customHeight="1" thickTop="1" thickBot="1">
      <c r="A117" s="53"/>
      <c r="B117" s="53"/>
      <c r="C117" s="7" t="s">
        <v>163</v>
      </c>
      <c r="D117" s="18">
        <f ca="1">'1ER PERIODOADMINISTRACION'!F23</f>
        <v>30</v>
      </c>
      <c r="E117" s="19">
        <f ca="1">'1ER PERIODOADMINISTRACION'!G23</f>
        <v>0</v>
      </c>
      <c r="F117" s="19">
        <f ca="1">'1ER PERIODOADMINISTRACION'!H23</f>
        <v>0</v>
      </c>
      <c r="G117" s="19">
        <f ca="1">'1ER PERIODOADMINISTRACION'!I23</f>
        <v>0</v>
      </c>
      <c r="H117" s="19">
        <f ca="1">'1ER PERIODOADMINISTRACION'!J23</f>
        <v>0</v>
      </c>
      <c r="I117" s="19">
        <f ca="1">'1ER PERIODOADMINISTRACION'!K23</f>
        <v>0</v>
      </c>
      <c r="J117" s="19">
        <f ca="1">'1ER PERIODOADMINISTRACION'!L23</f>
        <v>0</v>
      </c>
      <c r="K117" s="19">
        <f ca="1">'1ER PERIODOADMINISTRACION'!M23</f>
        <v>0</v>
      </c>
      <c r="L117" s="19">
        <f ca="1">'1ER PERIODOADMINISTRACION'!N23</f>
        <v>0</v>
      </c>
      <c r="M117" s="19">
        <f ca="1">'1ER PERIODOADMINISTRACION'!O23</f>
        <v>0</v>
      </c>
      <c r="N117" s="19">
        <f ca="1">'1ER PERIODOADMINISTRACION'!P23</f>
        <v>0</v>
      </c>
      <c r="O117" s="19">
        <f ca="1">'1ER PERIODOADMINISTRACION'!Q23</f>
        <v>0</v>
      </c>
      <c r="P117" s="19">
        <f ca="1">'1ER PERIODOADMINISTRACION'!R23</f>
        <v>3</v>
      </c>
      <c r="Q117" s="21">
        <f ca="1">'1ER PERIODOADMINISTRACION'!S23</f>
        <v>3</v>
      </c>
    </row>
    <row r="118" spans="1:17" ht="39.75" customHeight="1" thickTop="1" thickBot="1">
      <c r="A118" s="53"/>
      <c r="B118" s="51"/>
      <c r="C118" s="7" t="s">
        <v>164</v>
      </c>
      <c r="D118" s="18">
        <f ca="1">'1ER PERIODOADMINISTRACION'!F24</f>
        <v>90</v>
      </c>
      <c r="E118" s="19">
        <f ca="1">'1ER PERIODOADMINISTRACION'!G24</f>
        <v>0</v>
      </c>
      <c r="F118" s="19">
        <f ca="1">'1ER PERIODOADMINISTRACION'!H24</f>
        <v>0</v>
      </c>
      <c r="G118" s="19">
        <f ca="1">'1ER PERIODOADMINISTRACION'!I24</f>
        <v>0</v>
      </c>
      <c r="H118" s="19">
        <f ca="1">'1ER PERIODOADMINISTRACION'!J24</f>
        <v>0</v>
      </c>
      <c r="I118" s="19">
        <f ca="1">'1ER PERIODOADMINISTRACION'!K24</f>
        <v>0</v>
      </c>
      <c r="J118" s="19">
        <f ca="1">'1ER PERIODOADMINISTRACION'!L24</f>
        <v>0</v>
      </c>
      <c r="K118" s="19">
        <f ca="1">'1ER PERIODOADMINISTRACION'!M24</f>
        <v>2</v>
      </c>
      <c r="L118" s="19">
        <f ca="1">'1ER PERIODOADMINISTRACION'!N24</f>
        <v>14</v>
      </c>
      <c r="M118" s="19">
        <f ca="1">'1ER PERIODOADMINISTRACION'!O24</f>
        <v>20</v>
      </c>
      <c r="N118" s="19">
        <f ca="1">'1ER PERIODOADMINISTRACION'!P24</f>
        <v>0</v>
      </c>
      <c r="O118" s="19">
        <f ca="1">'1ER PERIODOADMINISTRACION'!Q24</f>
        <v>0</v>
      </c>
      <c r="P118" s="19">
        <f ca="1">'1ER PERIODOADMINISTRACION'!R24</f>
        <v>0</v>
      </c>
      <c r="Q118" s="21">
        <f ca="1">'1ER PERIODOADMINISTRACION'!S24</f>
        <v>36</v>
      </c>
    </row>
    <row r="119" spans="1:17" ht="39.75" customHeight="1" thickTop="1" thickBot="1">
      <c r="A119" s="53"/>
      <c r="B119" s="55" t="s">
        <v>165</v>
      </c>
      <c r="C119" s="7" t="s">
        <v>166</v>
      </c>
      <c r="D119" s="18">
        <f ca="1">'1ER PERIODOADMINISTRACION'!F25</f>
        <v>92.955555555555506</v>
      </c>
      <c r="E119" s="19">
        <f ca="1">'1ER PERIODOADMINISTRACION'!G25</f>
        <v>730</v>
      </c>
      <c r="F119" s="19">
        <f ca="1">'1ER PERIODOADMINISTRACION'!H25</f>
        <v>746</v>
      </c>
      <c r="G119" s="19">
        <f ca="1">'1ER PERIODOADMINISTRACION'!I25</f>
        <v>737</v>
      </c>
      <c r="H119" s="19">
        <f ca="1">'1ER PERIODOADMINISTRACION'!J25</f>
        <v>0</v>
      </c>
      <c r="I119" s="19">
        <f ca="1">'1ER PERIODOADMINISTRACION'!K25</f>
        <v>757</v>
      </c>
      <c r="J119" s="19">
        <f ca="1">'1ER PERIODOADMINISTRACION'!L25</f>
        <v>761</v>
      </c>
      <c r="K119" s="19">
        <f ca="1">'1ER PERIODOADMINISTRACION'!M25</f>
        <v>768</v>
      </c>
      <c r="L119" s="19">
        <f ca="1">'1ER PERIODOADMINISTRACION'!N25</f>
        <v>775</v>
      </c>
      <c r="M119" s="19">
        <f ca="1">'1ER PERIODOADMINISTRACION'!O25</f>
        <v>775</v>
      </c>
      <c r="N119" s="19">
        <f ca="1">'1ER PERIODOADMINISTRACION'!P25</f>
        <v>764</v>
      </c>
      <c r="O119" s="19">
        <f ca="1">'1ER PERIODOADMINISTRACION'!Q25</f>
        <v>773</v>
      </c>
      <c r="P119" s="19">
        <f ca="1">'1ER PERIODOADMINISTRACION'!R25</f>
        <v>780</v>
      </c>
      <c r="Q119" s="21">
        <f ca="1">'1ER PERIODOADMINISTRACION'!S25</f>
        <v>697.16666666666595</v>
      </c>
    </row>
    <row r="120" spans="1:17" ht="39.75" customHeight="1" thickTop="1" thickBot="1">
      <c r="A120" s="53"/>
      <c r="B120" s="53"/>
      <c r="C120" s="7" t="s">
        <v>167</v>
      </c>
      <c r="D120" s="18">
        <f ca="1">'1ER PERIODOADMINISTRACION'!F26</f>
        <v>87.733333333333306</v>
      </c>
      <c r="E120" s="19">
        <f ca="1">'1ER PERIODOADMINISTRACION'!G26</f>
        <v>498</v>
      </c>
      <c r="F120" s="19">
        <f ca="1">'1ER PERIODOADMINISTRACION'!H26</f>
        <v>512</v>
      </c>
      <c r="G120" s="19">
        <f ca="1">'1ER PERIODOADMINISTRACION'!I26</f>
        <v>0</v>
      </c>
      <c r="H120" s="19">
        <f ca="1">'1ER PERIODOADMINISTRACION'!J26</f>
        <v>0</v>
      </c>
      <c r="I120" s="19">
        <f ca="1">'1ER PERIODOADMINISTRACION'!K26</f>
        <v>519</v>
      </c>
      <c r="J120" s="19">
        <f ca="1">'1ER PERIODOADMINISTRACION'!L26</f>
        <v>524</v>
      </c>
      <c r="K120" s="19">
        <f ca="1">'1ER PERIODOADMINISTRACION'!M26</f>
        <v>530</v>
      </c>
      <c r="L120" s="19">
        <f ca="1">'1ER PERIODOADMINISTRACION'!N26</f>
        <v>539</v>
      </c>
      <c r="M120" s="19">
        <f ca="1">'1ER PERIODOADMINISTRACION'!O26</f>
        <v>537</v>
      </c>
      <c r="N120" s="19">
        <f ca="1">'1ER PERIODOADMINISTRACION'!P26</f>
        <v>530</v>
      </c>
      <c r="O120" s="19">
        <f ca="1">'1ER PERIODOADMINISTRACION'!Q26</f>
        <v>535</v>
      </c>
      <c r="P120" s="19">
        <f ca="1">'1ER PERIODOADMINISTRACION'!R26</f>
        <v>540</v>
      </c>
      <c r="Q120" s="21">
        <f ca="1">'1ER PERIODOADMINISTRACION'!S26</f>
        <v>438.666666666666</v>
      </c>
    </row>
    <row r="121" spans="1:17" ht="39.75" customHeight="1" thickTop="1" thickBot="1">
      <c r="A121" s="53"/>
      <c r="B121" s="53"/>
      <c r="C121" s="7" t="s">
        <v>168</v>
      </c>
      <c r="D121" s="18">
        <f ca="1">'1ER PERIODOADMINISTRACION'!F27</f>
        <v>86.366666666666603</v>
      </c>
      <c r="E121" s="19">
        <f ca="1">'1ER PERIODOADMINISTRACION'!G27</f>
        <v>232</v>
      </c>
      <c r="F121" s="19">
        <f ca="1">'1ER PERIODOADMINISTRACION'!H27</f>
        <v>234</v>
      </c>
      <c r="G121" s="19">
        <f ca="1">'1ER PERIODOADMINISTRACION'!I27</f>
        <v>226</v>
      </c>
      <c r="H121" s="19">
        <f ca="1">'1ER PERIODOADMINISTRACION'!J27</f>
        <v>0</v>
      </c>
      <c r="I121" s="19">
        <f ca="1">'1ER PERIODOADMINISTRACION'!K27</f>
        <v>238</v>
      </c>
      <c r="J121" s="19">
        <f ca="1">'1ER PERIODOADMINISTRACION'!L27</f>
        <v>237</v>
      </c>
      <c r="K121" s="19">
        <f ca="1">'1ER PERIODOADMINISTRACION'!M27</f>
        <v>238</v>
      </c>
      <c r="L121" s="19">
        <f ca="1">'1ER PERIODOADMINISTRACION'!N27</f>
        <v>236</v>
      </c>
      <c r="M121" s="19">
        <f ca="1">'1ER PERIODOADMINISTRACION'!O27</f>
        <v>238</v>
      </c>
      <c r="N121" s="19">
        <f ca="1">'1ER PERIODOADMINISTRACION'!P27</f>
        <v>234</v>
      </c>
      <c r="O121" s="19">
        <f ca="1">'1ER PERIODOADMINISTRACION'!Q27</f>
        <v>238</v>
      </c>
      <c r="P121" s="19">
        <f ca="1">'1ER PERIODOADMINISTRACION'!R27</f>
        <v>240</v>
      </c>
      <c r="Q121" s="21">
        <f ca="1">'1ER PERIODOADMINISTRACION'!S27</f>
        <v>215.916666666666</v>
      </c>
    </row>
    <row r="122" spans="1:17" ht="39.75" customHeight="1" thickTop="1" thickBot="1">
      <c r="A122" s="53"/>
      <c r="B122" s="53"/>
      <c r="C122" s="7" t="s">
        <v>169</v>
      </c>
      <c r="D122" s="18">
        <f ca="1">'1ER PERIODOADMINISTRACION'!F28</f>
        <v>501.19047619047598</v>
      </c>
      <c r="E122" s="19">
        <f ca="1">'1ER PERIODOADMINISTRACION'!G28</f>
        <v>272</v>
      </c>
      <c r="F122" s="19">
        <f ca="1">'1ER PERIODOADMINISTRACION'!H28</f>
        <v>22</v>
      </c>
      <c r="G122" s="19">
        <f ca="1">'1ER PERIODOADMINISTRACION'!I28</f>
        <v>15</v>
      </c>
      <c r="H122" s="19">
        <f ca="1">'1ER PERIODOADMINISTRACION'!J28</f>
        <v>0</v>
      </c>
      <c r="I122" s="19">
        <f ca="1">'1ER PERIODOADMINISTRACION'!K28</f>
        <v>26</v>
      </c>
      <c r="J122" s="19">
        <f ca="1">'1ER PERIODOADMINISTRACION'!L28</f>
        <v>22</v>
      </c>
      <c r="K122" s="19">
        <f ca="1">'1ER PERIODOADMINISTRACION'!M28</f>
        <v>8</v>
      </c>
      <c r="L122" s="19">
        <f ca="1">'1ER PERIODOADMINISTRACION'!N28</f>
        <v>18</v>
      </c>
      <c r="M122" s="19">
        <f ca="1">'1ER PERIODOADMINISTRACION'!O28</f>
        <v>4</v>
      </c>
      <c r="N122" s="19">
        <f ca="1">'1ER PERIODOADMINISTRACION'!P28</f>
        <v>7</v>
      </c>
      <c r="O122" s="19">
        <f ca="1">'1ER PERIODOADMINISTRACION'!Q28</f>
        <v>17</v>
      </c>
      <c r="P122" s="19">
        <f ca="1">'1ER PERIODOADMINISTRACION'!R28</f>
        <v>10</v>
      </c>
      <c r="Q122" s="21">
        <f ca="1">'1ER PERIODOADMINISTRACION'!S28</f>
        <v>421</v>
      </c>
    </row>
    <row r="123" spans="1:17" ht="39.75" customHeight="1" thickTop="1" thickBot="1">
      <c r="A123" s="53"/>
      <c r="B123" s="53"/>
      <c r="C123" s="7" t="s">
        <v>170</v>
      </c>
      <c r="D123" s="18">
        <f ca="1">'1ER PERIODOADMINISTRACION'!F29</f>
        <v>388</v>
      </c>
      <c r="E123" s="19">
        <f ca="1">'1ER PERIODOADMINISTRACION'!G29</f>
        <v>112</v>
      </c>
      <c r="F123" s="19">
        <f ca="1">'1ER PERIODOADMINISTRACION'!H29</f>
        <v>27</v>
      </c>
      <c r="G123" s="19">
        <f ca="1">'1ER PERIODOADMINISTRACION'!I29</f>
        <v>0</v>
      </c>
      <c r="H123" s="19">
        <f ca="1">'1ER PERIODOADMINISTRACION'!J29</f>
        <v>0</v>
      </c>
      <c r="I123" s="19">
        <f ca="1">'1ER PERIODOADMINISTRACION'!K29</f>
        <v>12</v>
      </c>
      <c r="J123" s="19">
        <f ca="1">'1ER PERIODOADMINISTRACION'!L29</f>
        <v>12</v>
      </c>
      <c r="K123" s="19">
        <f ca="1">'1ER PERIODOADMINISTRACION'!M29</f>
        <v>4</v>
      </c>
      <c r="L123" s="19">
        <f ca="1">'1ER PERIODOADMINISTRACION'!N29</f>
        <v>4</v>
      </c>
      <c r="M123" s="19">
        <f ca="1">'1ER PERIODOADMINISTRACION'!O29</f>
        <v>10</v>
      </c>
      <c r="N123" s="19">
        <f ca="1">'1ER PERIODOADMINISTRACION'!P29</f>
        <v>6</v>
      </c>
      <c r="O123" s="19">
        <f ca="1">'1ER PERIODOADMINISTRACION'!Q29</f>
        <v>6</v>
      </c>
      <c r="P123" s="19">
        <f ca="1">'1ER PERIODOADMINISTRACION'!R29</f>
        <v>1</v>
      </c>
      <c r="Q123" s="21">
        <f ca="1">'1ER PERIODOADMINISTRACION'!S29</f>
        <v>194</v>
      </c>
    </row>
    <row r="124" spans="1:17" ht="39.75" customHeight="1" thickTop="1" thickBot="1">
      <c r="A124" s="53"/>
      <c r="B124" s="53"/>
      <c r="C124" s="7" t="s">
        <v>171</v>
      </c>
      <c r="D124" s="18">
        <f ca="1">'1ER PERIODOADMINISTRACION'!F30</f>
        <v>142</v>
      </c>
      <c r="E124" s="19">
        <f ca="1">'1ER PERIODOADMINISTRACION'!G30</f>
        <v>13</v>
      </c>
      <c r="F124" s="19">
        <f ca="1">'1ER PERIODOADMINISTRACION'!H30</f>
        <v>16</v>
      </c>
      <c r="G124" s="19">
        <f ca="1">'1ER PERIODOADMINISTRACION'!I30</f>
        <v>15</v>
      </c>
      <c r="H124" s="19">
        <f ca="1">'1ER PERIODOADMINISTRACION'!J30</f>
        <v>0</v>
      </c>
      <c r="I124" s="19">
        <f ca="1">'1ER PERIODOADMINISTRACION'!K30</f>
        <v>18</v>
      </c>
      <c r="J124" s="19">
        <f ca="1">'1ER PERIODOADMINISTRACION'!L30</f>
        <v>15</v>
      </c>
      <c r="K124" s="19">
        <f ca="1">'1ER PERIODOADMINISTRACION'!M30</f>
        <v>32</v>
      </c>
      <c r="L124" s="19">
        <f ca="1">'1ER PERIODOADMINISTRACION'!N30</f>
        <v>53</v>
      </c>
      <c r="M124" s="19">
        <f ca="1">'1ER PERIODOADMINISTRACION'!O30</f>
        <v>37</v>
      </c>
      <c r="N124" s="19">
        <f ca="1">'1ER PERIODOADMINISTRACION'!P30</f>
        <v>32</v>
      </c>
      <c r="O124" s="19">
        <f ca="1">'1ER PERIODOADMINISTRACION'!Q30</f>
        <v>32</v>
      </c>
      <c r="P124" s="19">
        <f ca="1">'1ER PERIODOADMINISTRACION'!R30</f>
        <v>21</v>
      </c>
      <c r="Q124" s="21">
        <f ca="1">'1ER PERIODOADMINISTRACION'!S30</f>
        <v>284</v>
      </c>
    </row>
    <row r="125" spans="1:17" ht="39.75" customHeight="1" thickTop="1" thickBot="1">
      <c r="A125" s="53"/>
      <c r="B125" s="53"/>
      <c r="C125" s="7" t="s">
        <v>172</v>
      </c>
      <c r="D125" s="18">
        <f ca="1">'1ER PERIODOADMINISTRACION'!F31</f>
        <v>87</v>
      </c>
      <c r="E125" s="19">
        <f ca="1">'1ER PERIODOADMINISTRACION'!G31</f>
        <v>23</v>
      </c>
      <c r="F125" s="19">
        <f ca="1">'1ER PERIODOADMINISTRACION'!H31</f>
        <v>23</v>
      </c>
      <c r="G125" s="19">
        <f ca="1">'1ER PERIODOADMINISTRACION'!I31</f>
        <v>23</v>
      </c>
      <c r="H125" s="19">
        <f ca="1">'1ER PERIODOADMINISTRACION'!J31</f>
        <v>0</v>
      </c>
      <c r="I125" s="19">
        <f ca="1">'1ER PERIODOADMINISTRACION'!K31</f>
        <v>23</v>
      </c>
      <c r="J125" s="19">
        <f ca="1">'1ER PERIODOADMINISTRACION'!L31</f>
        <v>23</v>
      </c>
      <c r="K125" s="19">
        <f ca="1">'1ER PERIODOADMINISTRACION'!M31</f>
        <v>23</v>
      </c>
      <c r="L125" s="19">
        <f ca="1">'1ER PERIODOADMINISTRACION'!N31</f>
        <v>23</v>
      </c>
      <c r="M125" s="19">
        <f ca="1">'1ER PERIODOADMINISTRACION'!O31</f>
        <v>25</v>
      </c>
      <c r="N125" s="19">
        <f ca="1">'1ER PERIODOADMINISTRACION'!P31</f>
        <v>25</v>
      </c>
      <c r="O125" s="19">
        <f ca="1">'1ER PERIODOADMINISTRACION'!Q31</f>
        <v>25</v>
      </c>
      <c r="P125" s="19">
        <f ca="1">'1ER PERIODOADMINISTRACION'!R31</f>
        <v>25</v>
      </c>
      <c r="Q125" s="21">
        <f ca="1">'1ER PERIODOADMINISTRACION'!S31</f>
        <v>21.75</v>
      </c>
    </row>
    <row r="126" spans="1:17" ht="39.75" customHeight="1" thickTop="1" thickBot="1">
      <c r="A126" s="53"/>
      <c r="B126" s="53"/>
      <c r="C126" s="7" t="s">
        <v>167</v>
      </c>
      <c r="D126" s="18">
        <f ca="1">'1ER PERIODOADMINISTRACION'!F32</f>
        <v>85.8333333333333</v>
      </c>
      <c r="E126" s="19">
        <f ca="1">'1ER PERIODOADMINISTRACION'!G32</f>
        <v>18</v>
      </c>
      <c r="F126" s="19">
        <f ca="1">'1ER PERIODOADMINISTRACION'!H32</f>
        <v>18</v>
      </c>
      <c r="G126" s="19">
        <f ca="1">'1ER PERIODOADMINISTRACION'!I32</f>
        <v>18</v>
      </c>
      <c r="H126" s="19">
        <f ca="1">'1ER PERIODOADMINISTRACION'!J32</f>
        <v>0</v>
      </c>
      <c r="I126" s="19">
        <f ca="1">'1ER PERIODOADMINISTRACION'!K32</f>
        <v>18</v>
      </c>
      <c r="J126" s="19">
        <f ca="1">'1ER PERIODOADMINISTRACION'!L32</f>
        <v>18</v>
      </c>
      <c r="K126" s="19">
        <f ca="1">'1ER PERIODOADMINISTRACION'!M32</f>
        <v>18</v>
      </c>
      <c r="L126" s="19">
        <f ca="1">'1ER PERIODOADMINISTRACION'!N32</f>
        <v>18</v>
      </c>
      <c r="M126" s="19">
        <f ca="1">'1ER PERIODOADMINISTRACION'!O32</f>
        <v>20</v>
      </c>
      <c r="N126" s="19">
        <f ca="1">'1ER PERIODOADMINISTRACION'!P32</f>
        <v>20</v>
      </c>
      <c r="O126" s="19">
        <f ca="1">'1ER PERIODOADMINISTRACION'!Q32</f>
        <v>20</v>
      </c>
      <c r="P126" s="19">
        <f ca="1">'1ER PERIODOADMINISTRACION'!R32</f>
        <v>20</v>
      </c>
      <c r="Q126" s="21">
        <f ca="1">'1ER PERIODOADMINISTRACION'!S32</f>
        <v>17.1666666666666</v>
      </c>
    </row>
    <row r="127" spans="1:17" ht="39.75" customHeight="1" thickTop="1" thickBot="1">
      <c r="A127" s="53"/>
      <c r="B127" s="53"/>
      <c r="C127" s="7" t="s">
        <v>168</v>
      </c>
      <c r="D127" s="18">
        <f ca="1">'1ER PERIODOADMINISTRACION'!F33</f>
        <v>91.6666666666666</v>
      </c>
      <c r="E127" s="19">
        <f ca="1">'1ER PERIODOADMINISTRACION'!G33</f>
        <v>5</v>
      </c>
      <c r="F127" s="19">
        <f ca="1">'1ER PERIODOADMINISTRACION'!H33</f>
        <v>5</v>
      </c>
      <c r="G127" s="19">
        <f ca="1">'1ER PERIODOADMINISTRACION'!I33</f>
        <v>5</v>
      </c>
      <c r="H127" s="19">
        <f ca="1">'1ER PERIODOADMINISTRACION'!J33</f>
        <v>0</v>
      </c>
      <c r="I127" s="19">
        <f ca="1">'1ER PERIODOADMINISTRACION'!K33</f>
        <v>5</v>
      </c>
      <c r="J127" s="19">
        <f ca="1">'1ER PERIODOADMINISTRACION'!L33</f>
        <v>5</v>
      </c>
      <c r="K127" s="19">
        <f ca="1">'1ER PERIODOADMINISTRACION'!M33</f>
        <v>5</v>
      </c>
      <c r="L127" s="19">
        <f ca="1">'1ER PERIODOADMINISTRACION'!N33</f>
        <v>5</v>
      </c>
      <c r="M127" s="19">
        <f ca="1">'1ER PERIODOADMINISTRACION'!O33</f>
        <v>5</v>
      </c>
      <c r="N127" s="19">
        <f ca="1">'1ER PERIODOADMINISTRACION'!P33</f>
        <v>5</v>
      </c>
      <c r="O127" s="19">
        <f ca="1">'1ER PERIODOADMINISTRACION'!Q33</f>
        <v>5</v>
      </c>
      <c r="P127" s="19">
        <f ca="1">'1ER PERIODOADMINISTRACION'!R33</f>
        <v>5</v>
      </c>
      <c r="Q127" s="21">
        <f ca="1">'1ER PERIODOADMINISTRACION'!S33</f>
        <v>4.5833333333333304</v>
      </c>
    </row>
    <row r="128" spans="1:17" ht="39.75" customHeight="1" thickTop="1" thickBot="1">
      <c r="A128" s="53"/>
      <c r="B128" s="53"/>
      <c r="C128" s="7" t="s">
        <v>173</v>
      </c>
      <c r="D128" s="18">
        <f ca="1">'1ER PERIODOADMINISTRACION'!F34</f>
        <v>87.196969696969703</v>
      </c>
      <c r="E128" s="19">
        <f ca="1">'1ER PERIODOADMINISTRACION'!G34</f>
        <v>102</v>
      </c>
      <c r="F128" s="19">
        <f ca="1">'1ER PERIODOADMINISTRACION'!H34</f>
        <v>102</v>
      </c>
      <c r="G128" s="19">
        <f ca="1">'1ER PERIODOADMINISTRACION'!I34</f>
        <v>102</v>
      </c>
      <c r="H128" s="19">
        <f ca="1">'1ER PERIODOADMINISTRACION'!J34</f>
        <v>0</v>
      </c>
      <c r="I128" s="19">
        <f ca="1">'1ER PERIODOADMINISTRACION'!K34</f>
        <v>102</v>
      </c>
      <c r="J128" s="19">
        <f ca="1">'1ER PERIODOADMINISTRACION'!L34</f>
        <v>103</v>
      </c>
      <c r="K128" s="19">
        <f ca="1">'1ER PERIODOADMINISTRACION'!M34</f>
        <v>103</v>
      </c>
      <c r="L128" s="19">
        <f ca="1">'1ER PERIODOADMINISTRACION'!N34</f>
        <v>103</v>
      </c>
      <c r="M128" s="19">
        <f ca="1">'1ER PERIODOADMINISTRACION'!O34</f>
        <v>107</v>
      </c>
      <c r="N128" s="19">
        <f ca="1">'1ER PERIODOADMINISTRACION'!P34</f>
        <v>107</v>
      </c>
      <c r="O128" s="19">
        <f ca="1">'1ER PERIODOADMINISTRACION'!Q34</f>
        <v>110</v>
      </c>
      <c r="P128" s="19">
        <f ca="1">'1ER PERIODOADMINISTRACION'!R34</f>
        <v>110</v>
      </c>
      <c r="Q128" s="21">
        <f ca="1">'1ER PERIODOADMINISTRACION'!S34</f>
        <v>95.9166666666666</v>
      </c>
    </row>
    <row r="129" spans="1:17" ht="39.75" customHeight="1" thickTop="1" thickBot="1">
      <c r="A129" s="53"/>
      <c r="B129" s="53"/>
      <c r="C129" s="7" t="s">
        <v>167</v>
      </c>
      <c r="D129" s="18">
        <f ca="1">'1ER PERIODOADMINISTRACION'!F35</f>
        <v>89.487179487179404</v>
      </c>
      <c r="E129" s="19">
        <f ca="1">'1ER PERIODOADMINISTRACION'!G35</f>
        <v>62</v>
      </c>
      <c r="F129" s="19">
        <f ca="1">'1ER PERIODOADMINISTRACION'!H35</f>
        <v>62</v>
      </c>
      <c r="G129" s="19">
        <f ca="1">'1ER PERIODOADMINISTRACION'!I35</f>
        <v>62</v>
      </c>
      <c r="H129" s="19">
        <f ca="1">'1ER PERIODOADMINISTRACION'!J35</f>
        <v>0</v>
      </c>
      <c r="I129" s="19">
        <f ca="1">'1ER PERIODOADMINISTRACION'!K35</f>
        <v>62</v>
      </c>
      <c r="J129" s="19">
        <f ca="1">'1ER PERIODOADMINISTRACION'!L35</f>
        <v>62</v>
      </c>
      <c r="K129" s="19">
        <f ca="1">'1ER PERIODOADMINISTRACION'!M35</f>
        <v>62</v>
      </c>
      <c r="L129" s="19">
        <f ca="1">'1ER PERIODOADMINISTRACION'!N35</f>
        <v>62</v>
      </c>
      <c r="M129" s="19">
        <f ca="1">'1ER PERIODOADMINISTRACION'!O35</f>
        <v>65</v>
      </c>
      <c r="N129" s="19">
        <f ca="1">'1ER PERIODOADMINISTRACION'!P35</f>
        <v>65</v>
      </c>
      <c r="O129" s="19">
        <f ca="1">'1ER PERIODOADMINISTRACION'!Q35</f>
        <v>67</v>
      </c>
      <c r="P129" s="19">
        <f ca="1">'1ER PERIODOADMINISTRACION'!R35</f>
        <v>67</v>
      </c>
      <c r="Q129" s="21">
        <f ca="1">'1ER PERIODOADMINISTRACION'!S35</f>
        <v>58.1666666666666</v>
      </c>
    </row>
    <row r="130" spans="1:17" ht="39.75" customHeight="1" thickTop="1" thickBot="1">
      <c r="A130" s="53"/>
      <c r="B130" s="51"/>
      <c r="C130" s="7" t="s">
        <v>168</v>
      </c>
      <c r="D130" s="18">
        <f ca="1">'1ER PERIODOADMINISTRACION'!F36</f>
        <v>83.8888888888888</v>
      </c>
      <c r="E130" s="19">
        <f ca="1">'1ER PERIODOADMINISTRACION'!G36</f>
        <v>40</v>
      </c>
      <c r="F130" s="19">
        <f ca="1">'1ER PERIODOADMINISTRACION'!H36</f>
        <v>40</v>
      </c>
      <c r="G130" s="19">
        <f ca="1">'1ER PERIODOADMINISTRACION'!I36</f>
        <v>40</v>
      </c>
      <c r="H130" s="19">
        <f ca="1">'1ER PERIODOADMINISTRACION'!J36</f>
        <v>0</v>
      </c>
      <c r="I130" s="19">
        <f ca="1">'1ER PERIODOADMINISTRACION'!K36</f>
        <v>40</v>
      </c>
      <c r="J130" s="19">
        <f ca="1">'1ER PERIODOADMINISTRACION'!L36</f>
        <v>41</v>
      </c>
      <c r="K130" s="19">
        <f ca="1">'1ER PERIODOADMINISTRACION'!M36</f>
        <v>41</v>
      </c>
      <c r="L130" s="19">
        <f ca="1">'1ER PERIODOADMINISTRACION'!N36</f>
        <v>41</v>
      </c>
      <c r="M130" s="19">
        <f ca="1">'1ER PERIODOADMINISTRACION'!O36</f>
        <v>42</v>
      </c>
      <c r="N130" s="19">
        <f ca="1">'1ER PERIODOADMINISTRACION'!P36</f>
        <v>42</v>
      </c>
      <c r="O130" s="19">
        <f ca="1">'1ER PERIODOADMINISTRACION'!Q36</f>
        <v>43</v>
      </c>
      <c r="P130" s="19">
        <f ca="1">'1ER PERIODOADMINISTRACION'!R36</f>
        <v>43</v>
      </c>
      <c r="Q130" s="21">
        <f ca="1">'1ER PERIODOADMINISTRACION'!S36</f>
        <v>37.75</v>
      </c>
    </row>
    <row r="131" spans="1:17" ht="39.75" customHeight="1" thickTop="1" thickBot="1">
      <c r="A131" s="53"/>
      <c r="B131" s="55" t="s">
        <v>174</v>
      </c>
      <c r="C131" s="7" t="s">
        <v>175</v>
      </c>
      <c r="D131" s="18">
        <f ca="1">'1ER PERIODOADMINISTRACION'!F37</f>
        <v>136.08527131782901</v>
      </c>
      <c r="E131" s="19">
        <f ca="1">'1ER PERIODOADMINISTRACION'!G37</f>
        <v>294</v>
      </c>
      <c r="F131" s="19">
        <f ca="1">'1ER PERIODOADMINISTRACION'!H37</f>
        <v>342</v>
      </c>
      <c r="G131" s="19">
        <f ca="1">'1ER PERIODOADMINISTRACION'!I37</f>
        <v>321</v>
      </c>
      <c r="H131" s="19">
        <f ca="1">'1ER PERIODOADMINISTRACION'!J37</f>
        <v>203</v>
      </c>
      <c r="I131" s="19">
        <f ca="1">'1ER PERIODOADMINISTRACION'!K37</f>
        <v>210</v>
      </c>
      <c r="J131" s="19">
        <f ca="1">'1ER PERIODOADMINISTRACION'!L37</f>
        <v>213</v>
      </c>
      <c r="K131" s="19">
        <f ca="1">'1ER PERIODOADMINISTRACION'!M37</f>
        <v>456</v>
      </c>
      <c r="L131" s="19">
        <f ca="1">'1ER PERIODOADMINISTRACION'!N37</f>
        <v>458</v>
      </c>
      <c r="M131" s="19">
        <f ca="1">'1ER PERIODOADMINISTRACION'!O37</f>
        <v>246</v>
      </c>
      <c r="N131" s="19">
        <f ca="1">'1ER PERIODOADMINISTRACION'!P37</f>
        <v>256</v>
      </c>
      <c r="O131" s="19">
        <f ca="1">'1ER PERIODOADMINISTRACION'!Q37</f>
        <v>256</v>
      </c>
      <c r="P131" s="19">
        <f ca="1">'1ER PERIODOADMINISTRACION'!R37</f>
        <v>256</v>
      </c>
      <c r="Q131" s="21">
        <f ca="1">'1ER PERIODOADMINISTRACION'!S37</f>
        <v>292.58333333333297</v>
      </c>
    </row>
    <row r="132" spans="1:17" ht="39.75" customHeight="1" thickTop="1" thickBot="1">
      <c r="A132" s="53"/>
      <c r="B132" s="53"/>
      <c r="C132" s="7" t="s">
        <v>176</v>
      </c>
      <c r="D132" s="18">
        <f ca="1">'1ER PERIODOADMINISTRACION'!F38</f>
        <v>125.666666666666</v>
      </c>
      <c r="E132" s="19">
        <f ca="1">'1ER PERIODOADMINISTRACION'!G38</f>
        <v>251</v>
      </c>
      <c r="F132" s="19">
        <f ca="1">'1ER PERIODOADMINISTRACION'!H38</f>
        <v>268</v>
      </c>
      <c r="G132" s="19">
        <f ca="1">'1ER PERIODOADMINISTRACION'!I38</f>
        <v>276</v>
      </c>
      <c r="H132" s="19">
        <f ca="1">'1ER PERIODOADMINISTRACION'!J38</f>
        <v>180</v>
      </c>
      <c r="I132" s="19">
        <f ca="1">'1ER PERIODOADMINISTRACION'!K38</f>
        <v>187</v>
      </c>
      <c r="J132" s="19">
        <f ca="1">'1ER PERIODOADMINISTRACION'!L38</f>
        <v>190</v>
      </c>
      <c r="K132" s="19">
        <f ca="1">'1ER PERIODOADMINISTRACION'!M38</f>
        <v>400</v>
      </c>
      <c r="L132" s="19">
        <f ca="1">'1ER PERIODOADMINISTRACION'!N38</f>
        <v>400</v>
      </c>
      <c r="M132" s="19">
        <f ca="1">'1ER PERIODOADMINISTRACION'!O38</f>
        <v>216</v>
      </c>
      <c r="N132" s="19">
        <f ca="1">'1ER PERIODOADMINISTRACION'!P38</f>
        <v>216</v>
      </c>
      <c r="O132" s="19">
        <f ca="1">'1ER PERIODOADMINISTRACION'!Q38</f>
        <v>216</v>
      </c>
      <c r="P132" s="19">
        <f ca="1">'1ER PERIODOADMINISTRACION'!R38</f>
        <v>216</v>
      </c>
      <c r="Q132" s="21">
        <f ca="1">'1ER PERIODOADMINISTRACION'!S38</f>
        <v>251.333333333333</v>
      </c>
    </row>
    <row r="133" spans="1:17" ht="39.75" customHeight="1" thickTop="1" thickBot="1">
      <c r="A133" s="53"/>
      <c r="B133" s="53"/>
      <c r="C133" s="7" t="s">
        <v>177</v>
      </c>
      <c r="D133" s="18">
        <f ca="1">'1ER PERIODOADMINISTRACION'!F39</f>
        <v>118.486111111111</v>
      </c>
      <c r="E133" s="19">
        <f ca="1">'1ER PERIODOADMINISTRACION'!G39</f>
        <v>1011</v>
      </c>
      <c r="F133" s="19">
        <f ca="1">'1ER PERIODOADMINISTRACION'!H39</f>
        <v>1287</v>
      </c>
      <c r="G133" s="19">
        <f ca="1">'1ER PERIODOADMINISTRACION'!I39</f>
        <v>1081</v>
      </c>
      <c r="H133" s="19">
        <f ca="1">'1ER PERIODOADMINISTRACION'!J39</f>
        <v>1010</v>
      </c>
      <c r="I133" s="19">
        <f ca="1">'1ER PERIODOADMINISTRACION'!K39</f>
        <v>1114</v>
      </c>
      <c r="J133" s="19">
        <f ca="1">'1ER PERIODOADMINISTRACION'!L39</f>
        <v>1178</v>
      </c>
      <c r="K133" s="19">
        <f ca="1">'1ER PERIODOADMINISTRACION'!M39</f>
        <v>450</v>
      </c>
      <c r="L133" s="19">
        <f ca="1">'1ER PERIODOADMINISTRACION'!N39</f>
        <v>460</v>
      </c>
      <c r="M133" s="19">
        <f ca="1">'1ER PERIODOADMINISTRACION'!O39</f>
        <v>235</v>
      </c>
      <c r="N133" s="19">
        <f ca="1">'1ER PERIODOADMINISTRACION'!P39</f>
        <v>235</v>
      </c>
      <c r="O133" s="19">
        <f ca="1">'1ER PERIODOADMINISTRACION'!Q39</f>
        <v>235</v>
      </c>
      <c r="P133" s="19">
        <f ca="1">'1ER PERIODOADMINISTRACION'!R39</f>
        <v>235</v>
      </c>
      <c r="Q133" s="21">
        <f ca="1">'1ER PERIODOADMINISTRACION'!S39</f>
        <v>710.91666666666595</v>
      </c>
    </row>
    <row r="134" spans="1:17" ht="39.75" customHeight="1" thickTop="1" thickBot="1">
      <c r="A134" s="53"/>
      <c r="B134" s="53"/>
      <c r="C134" s="7" t="s">
        <v>178</v>
      </c>
      <c r="D134" s="18">
        <f ca="1">'1ER PERIODOADMINISTRACION'!F40</f>
        <v>55.378333333333302</v>
      </c>
      <c r="E134" s="19">
        <f ca="1">'1ER PERIODOADMINISTRACION'!G40</f>
        <v>25429</v>
      </c>
      <c r="F134" s="19">
        <f ca="1">'1ER PERIODOADMINISTRACION'!H40</f>
        <v>31694</v>
      </c>
      <c r="G134" s="19">
        <f ca="1">'1ER PERIODOADMINISTRACION'!I40</f>
        <v>34998</v>
      </c>
      <c r="H134" s="19">
        <f ca="1">'1ER PERIODOADMINISTRACION'!J40</f>
        <v>121366</v>
      </c>
      <c r="I134" s="19">
        <f ca="1">'1ER PERIODOADMINISTRACION'!K40</f>
        <v>123492</v>
      </c>
      <c r="J134" s="19">
        <f ca="1">'1ER PERIODOADMINISTRACION'!L40</f>
        <v>125803</v>
      </c>
      <c r="K134" s="19">
        <f ca="1">'1ER PERIODOADMINISTRACION'!M40</f>
        <v>79086</v>
      </c>
      <c r="L134" s="19">
        <f ca="1">'1ER PERIODOADMINISTRACION'!N40</f>
        <v>87224</v>
      </c>
      <c r="M134" s="19">
        <f ca="1">'1ER PERIODOADMINISTRACION'!O40</f>
        <v>49728</v>
      </c>
      <c r="N134" s="19">
        <f ca="1">'1ER PERIODOADMINISTRACION'!P40</f>
        <v>49725</v>
      </c>
      <c r="O134" s="19">
        <f ca="1">'1ER PERIODOADMINISTRACION'!Q40</f>
        <v>51119</v>
      </c>
      <c r="P134" s="19">
        <f ca="1">'1ER PERIODOADMINISTRACION'!R40</f>
        <v>51011</v>
      </c>
      <c r="Q134" s="21">
        <f ca="1">'1ER PERIODOADMINISTRACION'!S40</f>
        <v>830675</v>
      </c>
    </row>
    <row r="135" spans="1:17" ht="39.75" customHeight="1" thickTop="1" thickBot="1">
      <c r="A135" s="53"/>
      <c r="B135" s="53"/>
      <c r="C135" s="7" t="s">
        <v>179</v>
      </c>
      <c r="D135" s="18">
        <f ca="1">'1ER PERIODOADMINISTRACION'!F41</f>
        <v>147.222222222222</v>
      </c>
      <c r="E135" s="19">
        <f ca="1">'1ER PERIODOADMINISTRACION'!G41</f>
        <v>73</v>
      </c>
      <c r="F135" s="19">
        <f ca="1">'1ER PERIODOADMINISTRACION'!H41</f>
        <v>73</v>
      </c>
      <c r="G135" s="19">
        <f ca="1">'1ER PERIODOADMINISTRACION'!I41</f>
        <v>73</v>
      </c>
      <c r="H135" s="19">
        <f ca="1">'1ER PERIODOADMINISTRACION'!J41</f>
        <v>61</v>
      </c>
      <c r="I135" s="19">
        <f ca="1">'1ER PERIODOADMINISTRACION'!K41</f>
        <v>65</v>
      </c>
      <c r="J135" s="19">
        <f ca="1">'1ER PERIODOADMINISTRACION'!L41</f>
        <v>65</v>
      </c>
      <c r="K135" s="19">
        <f ca="1">'1ER PERIODOADMINISTRACION'!M41</f>
        <v>12</v>
      </c>
      <c r="L135" s="19">
        <f ca="1">'1ER PERIODOADMINISTRACION'!N41</f>
        <v>16</v>
      </c>
      <c r="M135" s="19">
        <f ca="1">'1ER PERIODOADMINISTRACION'!O41</f>
        <v>8</v>
      </c>
      <c r="N135" s="19">
        <f ca="1">'1ER PERIODOADMINISTRACION'!P41</f>
        <v>8</v>
      </c>
      <c r="O135" s="19">
        <f ca="1">'1ER PERIODOADMINISTRACION'!Q41</f>
        <v>11</v>
      </c>
      <c r="P135" s="19">
        <f ca="1">'1ER PERIODOADMINISTRACION'!R41</f>
        <v>12</v>
      </c>
      <c r="Q135" s="21">
        <f ca="1">'1ER PERIODOADMINISTRACION'!S41</f>
        <v>39.75</v>
      </c>
    </row>
    <row r="136" spans="1:17" ht="39.75" customHeight="1" thickTop="1" thickBot="1">
      <c r="A136" s="53"/>
      <c r="B136" s="53"/>
      <c r="C136" s="7" t="s">
        <v>177</v>
      </c>
      <c r="D136" s="18">
        <f ca="1">'1ER PERIODOADMINISTRACION'!F42</f>
        <v>49.2916666666666</v>
      </c>
      <c r="E136" s="19">
        <f ca="1">'1ER PERIODOADMINISTRACION'!G42</f>
        <v>50</v>
      </c>
      <c r="F136" s="19">
        <f ca="1">'1ER PERIODOADMINISTRACION'!H42</f>
        <v>52</v>
      </c>
      <c r="G136" s="19">
        <f ca="1">'1ER PERIODOADMINISTRACION'!I42</f>
        <v>61</v>
      </c>
      <c r="H136" s="19">
        <f ca="1">'1ER PERIODOADMINISTRACION'!J42</f>
        <v>244</v>
      </c>
      <c r="I136" s="19">
        <f ca="1">'1ER PERIODOADMINISTRACION'!K42</f>
        <v>260</v>
      </c>
      <c r="J136" s="19">
        <f ca="1">'1ER PERIODOADMINISTRACION'!L42</f>
        <v>260</v>
      </c>
      <c r="K136" s="19">
        <f ca="1">'1ER PERIODOADMINISTRACION'!M42</f>
        <v>48</v>
      </c>
      <c r="L136" s="19">
        <f ca="1">'1ER PERIODOADMINISTRACION'!N42</f>
        <v>64</v>
      </c>
      <c r="M136" s="19">
        <f ca="1">'1ER PERIODOADMINISTRACION'!O42</f>
        <v>32</v>
      </c>
      <c r="N136" s="19">
        <f ca="1">'1ER PERIODOADMINISTRACION'!P42</f>
        <v>32</v>
      </c>
      <c r="O136" s="19">
        <f ca="1">'1ER PERIODOADMINISTRACION'!Q42</f>
        <v>38</v>
      </c>
      <c r="P136" s="19">
        <f ca="1">'1ER PERIODOADMINISTRACION'!R42</f>
        <v>42</v>
      </c>
      <c r="Q136" s="21">
        <f ca="1">'1ER PERIODOADMINISTRACION'!S42</f>
        <v>1183</v>
      </c>
    </row>
    <row r="137" spans="1:17" ht="39.75" customHeight="1" thickTop="1" thickBot="1">
      <c r="A137" s="53"/>
      <c r="B137" s="53"/>
      <c r="C137" s="7" t="s">
        <v>178</v>
      </c>
      <c r="D137" s="18">
        <f ca="1">'1ER PERIODOADMINISTRACION'!F43</f>
        <v>580.66666666666595</v>
      </c>
      <c r="E137" s="19">
        <f ca="1">'1ER PERIODOADMINISTRACION'!G43</f>
        <v>3446</v>
      </c>
      <c r="F137" s="19">
        <f ca="1">'1ER PERIODOADMINISTRACION'!H43</f>
        <v>3123</v>
      </c>
      <c r="G137" s="19">
        <f ca="1">'1ER PERIODOADMINISTRACION'!I43</f>
        <v>3998</v>
      </c>
      <c r="H137" s="19">
        <f ca="1">'1ER PERIODOADMINISTRACION'!J43</f>
        <v>170</v>
      </c>
      <c r="I137" s="19">
        <f ca="1">'1ER PERIODOADMINISTRACION'!K43</f>
        <v>185</v>
      </c>
      <c r="J137" s="19">
        <f ca="1">'1ER PERIODOADMINISTRACION'!L43</f>
        <v>185</v>
      </c>
      <c r="K137" s="19">
        <f ca="1">'1ER PERIODOADMINISTRACION'!M43</f>
        <v>240</v>
      </c>
      <c r="L137" s="19">
        <f ca="1">'1ER PERIODOADMINISTRACION'!N43</f>
        <v>270</v>
      </c>
      <c r="M137" s="19">
        <f ca="1">'1ER PERIODOADMINISTRACION'!O43</f>
        <v>142</v>
      </c>
      <c r="N137" s="19">
        <f ca="1">'1ER PERIODOADMINISTRACION'!P43</f>
        <v>145</v>
      </c>
      <c r="O137" s="19">
        <f ca="1">'1ER PERIODOADMINISTRACION'!Q43</f>
        <v>145</v>
      </c>
      <c r="P137" s="19">
        <f ca="1">'1ER PERIODOADMINISTRACION'!R43</f>
        <v>145</v>
      </c>
      <c r="Q137" s="21">
        <f ca="1">'1ER PERIODOADMINISTRACION'!S43</f>
        <v>12194</v>
      </c>
    </row>
    <row r="138" spans="1:17" ht="39.75" customHeight="1" thickTop="1" thickBot="1">
      <c r="A138" s="53"/>
      <c r="B138" s="53"/>
      <c r="C138" s="7" t="s">
        <v>180</v>
      </c>
      <c r="D138" s="18">
        <f ca="1">'1ER PERIODOADMINISTRACION'!F44</f>
        <v>57.499999999999901</v>
      </c>
      <c r="E138" s="19">
        <f ca="1">'1ER PERIODOADMINISTRACION'!G44</f>
        <v>14</v>
      </c>
      <c r="F138" s="19">
        <f ca="1">'1ER PERIODOADMINISTRACION'!H44</f>
        <v>3</v>
      </c>
      <c r="G138" s="19">
        <f ca="1">'1ER PERIODOADMINISTRACION'!I44</f>
        <v>7</v>
      </c>
      <c r="H138" s="19">
        <f ca="1">'1ER PERIODOADMINISTRACION'!J44</f>
        <v>23</v>
      </c>
      <c r="I138" s="19">
        <f ca="1">'1ER PERIODOADMINISTRACION'!K44</f>
        <v>28</v>
      </c>
      <c r="J138" s="19">
        <f ca="1">'1ER PERIODOADMINISTRACION'!L44</f>
        <v>28</v>
      </c>
      <c r="K138" s="19">
        <f ca="1">'1ER PERIODOADMINISTRACION'!M44</f>
        <v>56</v>
      </c>
      <c r="L138" s="19">
        <f ca="1">'1ER PERIODOADMINISTRACION'!N44</f>
        <v>60</v>
      </c>
      <c r="M138" s="19">
        <f ca="1">'1ER PERIODOADMINISTRACION'!O44</f>
        <v>30</v>
      </c>
      <c r="N138" s="19">
        <f ca="1">'1ER PERIODOADMINISTRACION'!P44</f>
        <v>30</v>
      </c>
      <c r="O138" s="19">
        <f ca="1">'1ER PERIODOADMINISTRACION'!Q44</f>
        <v>32</v>
      </c>
      <c r="P138" s="19">
        <f ca="1">'1ER PERIODOADMINISTRACION'!R44</f>
        <v>34</v>
      </c>
      <c r="Q138" s="21">
        <f ca="1">'1ER PERIODOADMINISTRACION'!S44</f>
        <v>345</v>
      </c>
    </row>
    <row r="139" spans="1:17" ht="39.75" customHeight="1" thickTop="1" thickBot="1">
      <c r="A139" s="53"/>
      <c r="B139" s="53"/>
      <c r="C139" s="7" t="s">
        <v>177</v>
      </c>
      <c r="D139" s="18">
        <f ca="1">'1ER PERIODOADMINISTRACION'!F45</f>
        <v>124.818181818181</v>
      </c>
      <c r="E139" s="19">
        <f ca="1">'1ER PERIODOADMINISTRACION'!G45</f>
        <v>56</v>
      </c>
      <c r="F139" s="19">
        <f ca="1">'1ER PERIODOADMINISTRACION'!H45</f>
        <v>12</v>
      </c>
      <c r="G139" s="19">
        <f ca="1">'1ER PERIODOADMINISTRACION'!I45</f>
        <v>21</v>
      </c>
      <c r="H139" s="19">
        <f ca="1">'1ER PERIODOADMINISTRACION'!J45</f>
        <v>92</v>
      </c>
      <c r="I139" s="19">
        <f ca="1">'1ER PERIODOADMINISTRACION'!K45</f>
        <v>112</v>
      </c>
      <c r="J139" s="19">
        <f ca="1">'1ER PERIODOADMINISTRACION'!L45</f>
        <v>112</v>
      </c>
      <c r="K139" s="19">
        <f ca="1">'1ER PERIODOADMINISTRACION'!M45</f>
        <v>224</v>
      </c>
      <c r="L139" s="19">
        <f ca="1">'1ER PERIODOADMINISTRACION'!N45</f>
        <v>240</v>
      </c>
      <c r="M139" s="19">
        <f ca="1">'1ER PERIODOADMINISTRACION'!O45</f>
        <v>120</v>
      </c>
      <c r="N139" s="19">
        <f ca="1">'1ER PERIODOADMINISTRACION'!P45</f>
        <v>120</v>
      </c>
      <c r="O139" s="19">
        <f ca="1">'1ER PERIODOADMINISTRACION'!Q45</f>
        <v>128</v>
      </c>
      <c r="P139" s="19">
        <f ca="1">'1ER PERIODOADMINISTRACION'!R45</f>
        <v>136</v>
      </c>
      <c r="Q139" s="21">
        <f ca="1">'1ER PERIODOADMINISTRACION'!S45</f>
        <v>1373</v>
      </c>
    </row>
    <row r="140" spans="1:17" ht="39.75" customHeight="1" thickTop="1" thickBot="1">
      <c r="A140" s="53"/>
      <c r="B140" s="53"/>
      <c r="C140" s="7" t="s">
        <v>178</v>
      </c>
      <c r="D140" s="18">
        <f ca="1">'1ER PERIODOADMINISTRACION'!F46</f>
        <v>112</v>
      </c>
      <c r="E140" s="19">
        <f ca="1">'1ER PERIODOADMINISTRACION'!G46</f>
        <v>1560</v>
      </c>
      <c r="F140" s="19">
        <f ca="1">'1ER PERIODOADMINISTRACION'!H46</f>
        <v>1680</v>
      </c>
      <c r="G140" s="19">
        <f ca="1">'1ER PERIODOADMINISTRACION'!I46</f>
        <v>2280</v>
      </c>
      <c r="H140" s="19">
        <f ca="1">'1ER PERIODOADMINISTRACION'!J46</f>
        <v>1960</v>
      </c>
      <c r="I140" s="19">
        <f ca="1">'1ER PERIODOADMINISTRACION'!K46</f>
        <v>2400</v>
      </c>
      <c r="J140" s="19">
        <f ca="1">'1ER PERIODOADMINISTRACION'!L46</f>
        <v>2400</v>
      </c>
      <c r="K140" s="19">
        <f ca="1">'1ER PERIODOADMINISTRACION'!M46</f>
        <v>4820</v>
      </c>
      <c r="L140" s="19">
        <f ca="1">'1ER PERIODOADMINISTRACION'!N46</f>
        <v>5580</v>
      </c>
      <c r="M140" s="19">
        <f ca="1">'1ER PERIODOADMINISTRACION'!O46</f>
        <v>2810</v>
      </c>
      <c r="N140" s="19">
        <f ca="1">'1ER PERIODOADMINISTRACION'!P46</f>
        <v>2081</v>
      </c>
      <c r="O140" s="19">
        <f ca="1">'1ER PERIODOADMINISTRACION'!Q46</f>
        <v>3047</v>
      </c>
      <c r="P140" s="19">
        <f ca="1">'1ER PERIODOADMINISTRACION'!R46</f>
        <v>2982</v>
      </c>
      <c r="Q140" s="21">
        <f ca="1">'1ER PERIODOADMINISTRACION'!S46</f>
        <v>33600</v>
      </c>
    </row>
    <row r="141" spans="1:17" ht="39.75" customHeight="1" thickTop="1" thickBot="1">
      <c r="A141" s="53"/>
      <c r="B141" s="53"/>
      <c r="C141" s="7" t="s">
        <v>181</v>
      </c>
      <c r="D141" s="18">
        <f ca="1">'1ER PERIODOADMINISTRACION'!F47</f>
        <v>94.285714285714207</v>
      </c>
      <c r="E141" s="19">
        <f ca="1">'1ER PERIODOADMINISTRACION'!G47</f>
        <v>4</v>
      </c>
      <c r="F141" s="19">
        <f ca="1">'1ER PERIODOADMINISTRACION'!H47</f>
        <v>0</v>
      </c>
      <c r="G141" s="19">
        <f ca="1">'1ER PERIODOADMINISTRACION'!I47</f>
        <v>1</v>
      </c>
      <c r="H141" s="19">
        <f ca="1">'1ER PERIODOADMINISTRACION'!J47</f>
        <v>5</v>
      </c>
      <c r="I141" s="19">
        <f ca="1">'1ER PERIODOADMINISTRACION'!K47</f>
        <v>5</v>
      </c>
      <c r="J141" s="19">
        <f ca="1">'1ER PERIODOADMINISTRACION'!L47</f>
        <v>5</v>
      </c>
      <c r="K141" s="19">
        <f ca="1">'1ER PERIODOADMINISTRACION'!M47</f>
        <v>10</v>
      </c>
      <c r="L141" s="19">
        <f ca="1">'1ER PERIODOADMINISTRACION'!N47</f>
        <v>12</v>
      </c>
      <c r="M141" s="19">
        <f ca="1">'1ER PERIODOADMINISTRACION'!O47</f>
        <v>6</v>
      </c>
      <c r="N141" s="19">
        <f ca="1">'1ER PERIODOADMINISTRACION'!P47</f>
        <v>6</v>
      </c>
      <c r="O141" s="19">
        <f ca="1">'1ER PERIODOADMINISTRACION'!Q47</f>
        <v>6</v>
      </c>
      <c r="P141" s="19">
        <f ca="1">'1ER PERIODOADMINISTRACION'!R47</f>
        <v>6</v>
      </c>
      <c r="Q141" s="21">
        <f ca="1">'1ER PERIODOADMINISTRACION'!S47</f>
        <v>66</v>
      </c>
    </row>
    <row r="142" spans="1:17" ht="39.75" customHeight="1" thickTop="1" thickBot="1">
      <c r="A142" s="53"/>
      <c r="B142" s="53"/>
      <c r="C142" s="7" t="s">
        <v>177</v>
      </c>
      <c r="D142" s="18">
        <f ca="1">'1ER PERIODOADMINISTRACION'!F48</f>
        <v>91.724137931034406</v>
      </c>
      <c r="E142" s="19">
        <f ca="1">'1ER PERIODOADMINISTRACION'!G48</f>
        <v>16</v>
      </c>
      <c r="F142" s="19">
        <f ca="1">'1ER PERIODOADMINISTRACION'!H48</f>
        <v>0</v>
      </c>
      <c r="G142" s="19">
        <f ca="1">'1ER PERIODOADMINISTRACION'!I48</f>
        <v>4</v>
      </c>
      <c r="H142" s="19">
        <f ca="1">'1ER PERIODOADMINISTRACION'!J48</f>
        <v>20</v>
      </c>
      <c r="I142" s="19">
        <f ca="1">'1ER PERIODOADMINISTRACION'!K48</f>
        <v>20</v>
      </c>
      <c r="J142" s="19">
        <f ca="1">'1ER PERIODOADMINISTRACION'!L48</f>
        <v>20</v>
      </c>
      <c r="K142" s="19">
        <f ca="1">'1ER PERIODOADMINISTRACION'!M48</f>
        <v>40</v>
      </c>
      <c r="L142" s="19">
        <f ca="1">'1ER PERIODOADMINISTRACION'!N48</f>
        <v>50</v>
      </c>
      <c r="M142" s="19">
        <f ca="1">'1ER PERIODOADMINISTRACION'!O48</f>
        <v>24</v>
      </c>
      <c r="N142" s="19">
        <f ca="1">'1ER PERIODOADMINISTRACION'!P48</f>
        <v>24</v>
      </c>
      <c r="O142" s="19">
        <f ca="1">'1ER PERIODOADMINISTRACION'!Q48</f>
        <v>24</v>
      </c>
      <c r="P142" s="19">
        <f ca="1">'1ER PERIODOADMINISTRACION'!R48</f>
        <v>24</v>
      </c>
      <c r="Q142" s="21">
        <f ca="1">'1ER PERIODOADMINISTRACION'!S48</f>
        <v>266</v>
      </c>
    </row>
    <row r="143" spans="1:17" ht="39.75" customHeight="1" thickTop="1" thickBot="1">
      <c r="A143" s="53"/>
      <c r="B143" s="53"/>
      <c r="C143" s="7" t="s">
        <v>178</v>
      </c>
      <c r="D143" s="18">
        <f ca="1">'1ER PERIODOADMINISTRACION'!F49</f>
        <v>122.30769230769199</v>
      </c>
      <c r="E143" s="19">
        <f ca="1">'1ER PERIODOADMINISTRACION'!G49</f>
        <v>140</v>
      </c>
      <c r="F143" s="19">
        <f ca="1">'1ER PERIODOADMINISTRACION'!H49</f>
        <v>0</v>
      </c>
      <c r="G143" s="19">
        <f ca="1">'1ER PERIODOADMINISTRACION'!I49</f>
        <v>20</v>
      </c>
      <c r="H143" s="19">
        <f ca="1">'1ER PERIODOADMINISTRACION'!J49</f>
        <v>160</v>
      </c>
      <c r="I143" s="19">
        <f ca="1">'1ER PERIODOADMINISTRACION'!K49</f>
        <v>160</v>
      </c>
      <c r="J143" s="19">
        <f ca="1">'1ER PERIODOADMINISTRACION'!L49</f>
        <v>160</v>
      </c>
      <c r="K143" s="19">
        <f ca="1">'1ER PERIODOADMINISTRACION'!M49</f>
        <v>200</v>
      </c>
      <c r="L143" s="19">
        <f ca="1">'1ER PERIODOADMINISTRACION'!N49</f>
        <v>250</v>
      </c>
      <c r="M143" s="19">
        <f ca="1">'1ER PERIODOADMINISTRACION'!O49</f>
        <v>125</v>
      </c>
      <c r="N143" s="19">
        <f ca="1">'1ER PERIODOADMINISTRACION'!P49</f>
        <v>125</v>
      </c>
      <c r="O143" s="19">
        <f ca="1">'1ER PERIODOADMINISTRACION'!Q49</f>
        <v>125</v>
      </c>
      <c r="P143" s="19">
        <f ca="1">'1ER PERIODOADMINISTRACION'!R49</f>
        <v>125</v>
      </c>
      <c r="Q143" s="21">
        <f ca="1">'1ER PERIODOADMINISTRACION'!S49</f>
        <v>1590</v>
      </c>
    </row>
    <row r="144" spans="1:17" ht="39.75" customHeight="1" thickTop="1" thickBot="1">
      <c r="A144" s="53"/>
      <c r="B144" s="53"/>
      <c r="C144" s="7" t="s">
        <v>182</v>
      </c>
      <c r="D144" s="18">
        <f ca="1">'1ER PERIODOADMINISTRACION'!F50</f>
        <v>137.89189189189099</v>
      </c>
      <c r="E144" s="19">
        <f ca="1">'1ER PERIODOADMINISTRACION'!G50</f>
        <v>120</v>
      </c>
      <c r="F144" s="19">
        <f ca="1">'1ER PERIODOADMINISTRACION'!H50</f>
        <v>117</v>
      </c>
      <c r="G144" s="19">
        <f ca="1">'1ER PERIODOADMINISTRACION'!I50</f>
        <v>164</v>
      </c>
      <c r="H144" s="19">
        <f ca="1">'1ER PERIODOADMINISTRACION'!J50</f>
        <v>164</v>
      </c>
      <c r="I144" s="19">
        <f ca="1">'1ER PERIODOADMINISTRACION'!K50</f>
        <v>185</v>
      </c>
      <c r="J144" s="19">
        <f ca="1">'1ER PERIODOADMINISTRACION'!L50</f>
        <v>185</v>
      </c>
      <c r="K144" s="19">
        <f ca="1">'1ER PERIODOADMINISTRACION'!M50</f>
        <v>366</v>
      </c>
      <c r="L144" s="19">
        <f ca="1">'1ER PERIODOADMINISTRACION'!N50</f>
        <v>408</v>
      </c>
      <c r="M144" s="19">
        <f ca="1">'1ER PERIODOADMINISTRACION'!O50</f>
        <v>205</v>
      </c>
      <c r="N144" s="19">
        <f ca="1">'1ER PERIODOADMINISTRACION'!P50</f>
        <v>210</v>
      </c>
      <c r="O144" s="19">
        <f ca="1">'1ER PERIODOADMINISTRACION'!Q50</f>
        <v>212</v>
      </c>
      <c r="P144" s="19">
        <f ca="1">'1ER PERIODOADMINISTRACION'!R50</f>
        <v>215</v>
      </c>
      <c r="Q144" s="21">
        <f ca="1">'1ER PERIODOADMINISTRACION'!S50</f>
        <v>2551</v>
      </c>
    </row>
    <row r="145" spans="1:17" ht="39.75" customHeight="1" thickTop="1" thickBot="1">
      <c r="A145" s="53"/>
      <c r="B145" s="53"/>
      <c r="C145" s="7" t="s">
        <v>183</v>
      </c>
      <c r="D145" s="18">
        <f ca="1">'1ER PERIODOADMINISTRACION'!F51</f>
        <v>95.974741666666603</v>
      </c>
      <c r="E145" s="19">
        <f ca="1">'1ER PERIODOADMINISTRACION'!G51</f>
        <v>1430365</v>
      </c>
      <c r="F145" s="19">
        <f ca="1">'1ER PERIODOADMINISTRACION'!H51</f>
        <v>1349032</v>
      </c>
      <c r="G145" s="19">
        <f ca="1">'1ER PERIODOADMINISTRACION'!I51</f>
        <v>1502457</v>
      </c>
      <c r="H145" s="19">
        <f ca="1">'1ER PERIODOADMINISTRACION'!J51</f>
        <v>1491026</v>
      </c>
      <c r="I145" s="19">
        <f ca="1">'1ER PERIODOADMINISTRACION'!K51</f>
        <v>1716096</v>
      </c>
      <c r="J145" s="19">
        <f ca="1">'1ER PERIODOADMINISTRACION'!L51</f>
        <v>1812310</v>
      </c>
      <c r="K145" s="19">
        <f ca="1">'1ER PERIODOADMINISTRACION'!M51</f>
        <v>2965486</v>
      </c>
      <c r="L145" s="19">
        <f ca="1">'1ER PERIODOADMINISTRACION'!N51</f>
        <v>3674128</v>
      </c>
      <c r="M145" s="19">
        <f ca="1">'1ER PERIODOADMINISTRACION'!O51</f>
        <v>1587949</v>
      </c>
      <c r="N145" s="19">
        <f ca="1">'1ER PERIODOADMINISTRACION'!P51</f>
        <v>1761691</v>
      </c>
      <c r="O145" s="19">
        <f ca="1">'1ER PERIODOADMINISTRACION'!Q51</f>
        <v>1833304</v>
      </c>
      <c r="P145" s="19">
        <f ca="1">'1ER PERIODOADMINISTRACION'!R51</f>
        <v>1910094</v>
      </c>
      <c r="Q145" s="21">
        <f ca="1">'1ER PERIODOADMINISTRACION'!S51</f>
        <v>23033938</v>
      </c>
    </row>
    <row r="146" spans="1:17" ht="39.75" customHeight="1" thickTop="1" thickBot="1">
      <c r="A146" s="53"/>
      <c r="B146" s="53"/>
      <c r="C146" s="7" t="s">
        <v>184</v>
      </c>
      <c r="D146" s="18">
        <f ca="1">'1ER PERIODOADMINISTRACION'!F52</f>
        <v>82.6388888888888</v>
      </c>
      <c r="E146" s="19">
        <f ca="1">'1ER PERIODOADMINISTRACION'!G52</f>
        <v>43</v>
      </c>
      <c r="F146" s="19">
        <f ca="1">'1ER PERIODOADMINISTRACION'!H52</f>
        <v>43</v>
      </c>
      <c r="G146" s="19">
        <f ca="1">'1ER PERIODOADMINISTRACION'!I52</f>
        <v>45</v>
      </c>
      <c r="H146" s="19">
        <f ca="1">'1ER PERIODOADMINISTRACION'!J52</f>
        <v>45</v>
      </c>
      <c r="I146" s="19">
        <f ca="1">'1ER PERIODOADMINISTRACION'!K52</f>
        <v>45</v>
      </c>
      <c r="J146" s="19">
        <f ca="1">'1ER PERIODOADMINISTRACION'!L52</f>
        <v>45</v>
      </c>
      <c r="K146" s="19">
        <f ca="1">'1ER PERIODOADMINISTRACION'!M52</f>
        <v>90</v>
      </c>
      <c r="L146" s="19">
        <f ca="1">'1ER PERIODOADMINISTRACION'!N52</f>
        <v>92</v>
      </c>
      <c r="M146" s="19">
        <f ca="1">'1ER PERIODOADMINISTRACION'!O52</f>
        <v>46</v>
      </c>
      <c r="N146" s="19">
        <f ca="1">'1ER PERIODOADMINISTRACION'!P52</f>
        <v>32</v>
      </c>
      <c r="O146" s="19">
        <f ca="1">'1ER PERIODOADMINISTRACION'!Q52</f>
        <v>33</v>
      </c>
      <c r="P146" s="19">
        <f ca="1">'1ER PERIODOADMINISTRACION'!R52</f>
        <v>36</v>
      </c>
      <c r="Q146" s="21">
        <f ca="1">'1ER PERIODOADMINISTRACION'!S52</f>
        <v>595</v>
      </c>
    </row>
    <row r="147" spans="1:17" ht="39.75" customHeight="1" thickTop="1" thickBot="1">
      <c r="A147" s="53"/>
      <c r="B147" s="53"/>
      <c r="C147" s="7" t="s">
        <v>177</v>
      </c>
      <c r="D147" s="18">
        <f ca="1">'1ER PERIODOADMINISTRACION'!F53</f>
        <v>0.55799999999999905</v>
      </c>
      <c r="E147" s="19">
        <f ca="1">'1ER PERIODOADMINISTRACION'!G53</f>
        <v>115</v>
      </c>
      <c r="F147" s="19">
        <f ca="1">'1ER PERIODOADMINISTRACION'!H53</f>
        <v>153</v>
      </c>
      <c r="G147" s="19">
        <f ca="1">'1ER PERIODOADMINISTRACION'!I53</f>
        <v>72</v>
      </c>
      <c r="H147" s="19">
        <f ca="1">'1ER PERIODOADMINISTRACION'!J53</f>
        <v>57</v>
      </c>
      <c r="I147" s="19">
        <f ca="1">'1ER PERIODOADMINISTRACION'!K53</f>
        <v>61</v>
      </c>
      <c r="J147" s="19">
        <f ca="1">'1ER PERIODOADMINISTRACION'!L53</f>
        <v>63</v>
      </c>
      <c r="K147" s="19">
        <f ca="1">'1ER PERIODOADMINISTRACION'!M53</f>
        <v>80</v>
      </c>
      <c r="L147" s="19">
        <f ca="1">'1ER PERIODOADMINISTRACION'!N53</f>
        <v>88</v>
      </c>
      <c r="M147" s="19">
        <f ca="1">'1ER PERIODOADMINISTRACION'!O53</f>
        <v>48</v>
      </c>
      <c r="N147" s="19">
        <f ca="1">'1ER PERIODOADMINISTRACION'!P53</f>
        <v>28</v>
      </c>
      <c r="O147" s="19">
        <f ca="1">'1ER PERIODOADMINISTRACION'!Q53</f>
        <v>30</v>
      </c>
      <c r="P147" s="19">
        <f ca="1">'1ER PERIODOADMINISTRACION'!R53</f>
        <v>42</v>
      </c>
      <c r="Q147" s="21">
        <f ca="1">'1ER PERIODOADMINISTRACION'!S53</f>
        <v>837</v>
      </c>
    </row>
    <row r="148" spans="1:17" ht="39.75" customHeight="1" thickTop="1" thickBot="1">
      <c r="A148" s="53"/>
      <c r="B148" s="53"/>
      <c r="C148" s="7" t="s">
        <v>185</v>
      </c>
      <c r="D148" s="18">
        <f ca="1">'1ER PERIODOADMINISTRACION'!F54</f>
        <v>82.308295964125506</v>
      </c>
      <c r="E148" s="19">
        <f ca="1">'1ER PERIODOADMINISTRACION'!G54</f>
        <v>13522</v>
      </c>
      <c r="F148" s="19">
        <f ca="1">'1ER PERIODOADMINISTRACION'!H54</f>
        <v>18030</v>
      </c>
      <c r="G148" s="19">
        <f ca="1">'1ER PERIODOADMINISTRACION'!I54</f>
        <v>14409</v>
      </c>
      <c r="H148" s="19">
        <f ca="1">'1ER PERIODOADMINISTRACION'!J54</f>
        <v>13271</v>
      </c>
      <c r="I148" s="19">
        <f ca="1">'1ER PERIODOADMINISTRACION'!K54</f>
        <v>15834</v>
      </c>
      <c r="J148" s="19">
        <f ca="1">'1ER PERIODOADMINISTRACION'!L54</f>
        <v>17889</v>
      </c>
      <c r="K148" s="19">
        <f ca="1">'1ER PERIODOADMINISTRACION'!M54</f>
        <v>26432</v>
      </c>
      <c r="L148" s="19">
        <f ca="1">'1ER PERIODOADMINISTRACION'!N54</f>
        <v>22638</v>
      </c>
      <c r="M148" s="19">
        <f ca="1">'1ER PERIODOADMINISTRACION'!O54</f>
        <v>14819</v>
      </c>
      <c r="N148" s="19">
        <f ca="1">'1ER PERIODOADMINISTRACION'!P54</f>
        <v>19715</v>
      </c>
      <c r="O148" s="19">
        <f ca="1">'1ER PERIODOADMINISTRACION'!Q54</f>
        <v>20292</v>
      </c>
      <c r="P148" s="19">
        <f ca="1">'1ER PERIODOADMINISTRACION'!R54</f>
        <v>23406</v>
      </c>
      <c r="Q148" s="21">
        <f ca="1">'1ER PERIODOADMINISTRACION'!S54</f>
        <v>220257</v>
      </c>
    </row>
    <row r="149" spans="1:17" ht="39.75" customHeight="1" thickTop="1" thickBot="1">
      <c r="A149" s="53"/>
      <c r="B149" s="53"/>
      <c r="C149" s="7" t="s">
        <v>186</v>
      </c>
      <c r="D149" s="18">
        <f ca="1">'1ER PERIODOADMINISTRACION'!F55</f>
        <v>88.3333333333333</v>
      </c>
      <c r="E149" s="19">
        <f ca="1">'1ER PERIODOADMINISTRACION'!G55</f>
        <v>29</v>
      </c>
      <c r="F149" s="19">
        <f ca="1">'1ER PERIODOADMINISTRACION'!H55</f>
        <v>29</v>
      </c>
      <c r="G149" s="19">
        <f ca="1">'1ER PERIODOADMINISTRACION'!I55</f>
        <v>37</v>
      </c>
      <c r="H149" s="19">
        <f ca="1">'1ER PERIODOADMINISTRACION'!J55</f>
        <v>34</v>
      </c>
      <c r="I149" s="19">
        <f ca="1">'1ER PERIODOADMINISTRACION'!K55</f>
        <v>34</v>
      </c>
      <c r="J149" s="19">
        <f ca="1">'1ER PERIODOADMINISTRACION'!L55</f>
        <v>29</v>
      </c>
      <c r="K149" s="19">
        <f ca="1">'1ER PERIODOADMINISTRACION'!M55</f>
        <v>54</v>
      </c>
      <c r="L149" s="19">
        <f ca="1">'1ER PERIODOADMINISTRACION'!N55</f>
        <v>58</v>
      </c>
      <c r="M149" s="19">
        <f ca="1">'1ER PERIODOADMINISTRACION'!O55</f>
        <v>29</v>
      </c>
      <c r="N149" s="19">
        <f ca="1">'1ER PERIODOADMINISTRACION'!P55</f>
        <v>29</v>
      </c>
      <c r="O149" s="19">
        <f ca="1">'1ER PERIODOADMINISTRACION'!Q55</f>
        <v>29</v>
      </c>
      <c r="P149" s="19">
        <f ca="1">'1ER PERIODOADMINISTRACION'!R55</f>
        <v>33</v>
      </c>
      <c r="Q149" s="21">
        <f ca="1">'1ER PERIODOADMINISTRACION'!S55</f>
        <v>35.3333333333333</v>
      </c>
    </row>
    <row r="150" spans="1:17" ht="39.75" customHeight="1" thickTop="1" thickBot="1">
      <c r="A150" s="53"/>
      <c r="B150" s="51"/>
      <c r="C150" s="7" t="s">
        <v>187</v>
      </c>
      <c r="D150" s="18">
        <f ca="1">'1ER PERIODOADMINISTRACION'!F56</f>
        <v>94.1666666666666</v>
      </c>
      <c r="E150" s="19">
        <f ca="1">'1ER PERIODOADMINISTRACION'!G56</f>
        <v>14</v>
      </c>
      <c r="F150" s="19">
        <f ca="1">'1ER PERIODOADMINISTRACION'!H56</f>
        <v>13</v>
      </c>
      <c r="G150" s="19">
        <f ca="1">'1ER PERIODOADMINISTRACION'!I56</f>
        <v>19</v>
      </c>
      <c r="H150" s="19">
        <f ca="1">'1ER PERIODOADMINISTRACION'!J56</f>
        <v>16</v>
      </c>
      <c r="I150" s="19">
        <f ca="1">'1ER PERIODOADMINISTRACION'!K56</f>
        <v>16</v>
      </c>
      <c r="J150" s="19">
        <f ca="1">'1ER PERIODOADMINISTRACION'!L56</f>
        <v>12</v>
      </c>
      <c r="K150" s="19">
        <f ca="1">'1ER PERIODOADMINISTRACION'!M56</f>
        <v>34</v>
      </c>
      <c r="L150" s="19">
        <f ca="1">'1ER PERIODOADMINISTRACION'!N56</f>
        <v>38</v>
      </c>
      <c r="M150" s="19">
        <f ca="1">'1ER PERIODOADMINISTRACION'!O56</f>
        <v>19</v>
      </c>
      <c r="N150" s="19">
        <f ca="1">'1ER PERIODOADMINISTRACION'!P56</f>
        <v>15</v>
      </c>
      <c r="O150" s="19">
        <f ca="1">'1ER PERIODOADMINISTRACION'!Q56</f>
        <v>15</v>
      </c>
      <c r="P150" s="19">
        <f ca="1">'1ER PERIODOADMINISTRACION'!R56</f>
        <v>15</v>
      </c>
      <c r="Q150" s="21">
        <f ca="1">'1ER PERIODOADMINISTRACION'!S56</f>
        <v>18.8333333333333</v>
      </c>
    </row>
    <row r="151" spans="1:17" ht="39.75" customHeight="1" thickTop="1" thickBot="1">
      <c r="A151" s="53"/>
      <c r="B151" s="55" t="s">
        <v>188</v>
      </c>
      <c r="C151" s="7" t="s">
        <v>189</v>
      </c>
      <c r="D151" s="18">
        <f ca="1">'1ER PERIODOADMINISTRACION'!F57</f>
        <v>166.666666666666</v>
      </c>
      <c r="E151" s="19">
        <f ca="1">'1ER PERIODOADMINISTRACION'!G57</f>
        <v>10</v>
      </c>
      <c r="F151" s="19">
        <f ca="1">'1ER PERIODOADMINISTRACION'!H57</f>
        <v>5</v>
      </c>
      <c r="G151" s="19">
        <f ca="1">'1ER PERIODOADMINISTRACION'!I57</f>
        <v>5</v>
      </c>
      <c r="H151" s="19">
        <f ca="1">'1ER PERIODOADMINISTRACION'!J57</f>
        <v>5</v>
      </c>
      <c r="I151" s="19">
        <f ca="1">'1ER PERIODOADMINISTRACION'!K57</f>
        <v>6</v>
      </c>
      <c r="J151" s="19">
        <f ca="1">'1ER PERIODOADMINISTRACION'!L57</f>
        <v>5</v>
      </c>
      <c r="K151" s="19">
        <f ca="1">'1ER PERIODOADMINISTRACION'!M57</f>
        <v>2</v>
      </c>
      <c r="L151" s="19">
        <f ca="1">'1ER PERIODOADMINISTRACION'!N57</f>
        <v>2</v>
      </c>
      <c r="M151" s="19">
        <f ca="1">'1ER PERIODOADMINISTRACION'!O57</f>
        <v>3</v>
      </c>
      <c r="N151" s="19">
        <f ca="1">'1ER PERIODOADMINISTRACION'!P57</f>
        <v>5</v>
      </c>
      <c r="O151" s="19">
        <f ca="1">'1ER PERIODOADMINISTRACION'!Q57</f>
        <v>5</v>
      </c>
      <c r="P151" s="19">
        <f ca="1">'1ER PERIODOADMINISTRACION'!R57</f>
        <v>7</v>
      </c>
      <c r="Q151" s="21">
        <f ca="1">'1ER PERIODOADMINISTRACION'!S57</f>
        <v>60</v>
      </c>
    </row>
    <row r="152" spans="1:17" ht="39.75" customHeight="1" thickTop="1" thickBot="1">
      <c r="A152" s="53"/>
      <c r="B152" s="53"/>
      <c r="C152" s="7" t="s">
        <v>190</v>
      </c>
      <c r="D152" s="18">
        <f ca="1">'1ER PERIODOADMINISTRACION'!F58</f>
        <v>145</v>
      </c>
      <c r="E152" s="19">
        <f ca="1">'1ER PERIODOADMINISTRACION'!G58</f>
        <v>15</v>
      </c>
      <c r="F152" s="19">
        <f ca="1">'1ER PERIODOADMINISTRACION'!H58</f>
        <v>28</v>
      </c>
      <c r="G152" s="19">
        <f ca="1">'1ER PERIODOADMINISTRACION'!I58</f>
        <v>22</v>
      </c>
      <c r="H152" s="19">
        <f ca="1">'1ER PERIODOADMINISTRACION'!J58</f>
        <v>15</v>
      </c>
      <c r="I152" s="19">
        <f ca="1">'1ER PERIODOADMINISTRACION'!K58</f>
        <v>16</v>
      </c>
      <c r="J152" s="19">
        <f ca="1">'1ER PERIODOADMINISTRACION'!L58</f>
        <v>18</v>
      </c>
      <c r="K152" s="19">
        <f ca="1">'1ER PERIODOADMINISTRACION'!M58</f>
        <v>18</v>
      </c>
      <c r="L152" s="19">
        <f ca="1">'1ER PERIODOADMINISTRACION'!N58</f>
        <v>27</v>
      </c>
      <c r="M152" s="19">
        <f ca="1">'1ER PERIODOADMINISTRACION'!O58</f>
        <v>36</v>
      </c>
      <c r="N152" s="19">
        <f ca="1">'1ER PERIODOADMINISTRACION'!P58</f>
        <v>20</v>
      </c>
      <c r="O152" s="19">
        <f ca="1">'1ER PERIODOADMINISTRACION'!Q58</f>
        <v>22</v>
      </c>
      <c r="P152" s="19">
        <f ca="1">'1ER PERIODOADMINISTRACION'!R58</f>
        <v>24</v>
      </c>
      <c r="Q152" s="21">
        <f ca="1">'1ER PERIODOADMINISTRACION'!S58</f>
        <v>261</v>
      </c>
    </row>
    <row r="153" spans="1:17" ht="39.75" customHeight="1" thickTop="1" thickBot="1">
      <c r="A153" s="53"/>
      <c r="B153" s="53"/>
      <c r="C153" s="7" t="s">
        <v>191</v>
      </c>
      <c r="D153" s="18">
        <f ca="1">'1ER PERIODOADMINISTRACION'!F59</f>
        <v>859.25925925925901</v>
      </c>
      <c r="E153" s="19">
        <f ca="1">'1ER PERIODOADMINISTRACION'!G59</f>
        <v>1</v>
      </c>
      <c r="F153" s="19">
        <f ca="1">'1ER PERIODOADMINISTRACION'!H59</f>
        <v>0</v>
      </c>
      <c r="G153" s="19">
        <f ca="1">'1ER PERIODOADMINISTRACION'!I59</f>
        <v>0</v>
      </c>
      <c r="H153" s="19">
        <f ca="1">'1ER PERIODOADMINISTRACION'!J59</f>
        <v>3</v>
      </c>
      <c r="I153" s="19">
        <f ca="1">'1ER PERIODOADMINISTRACION'!K59</f>
        <v>4</v>
      </c>
      <c r="J153" s="19">
        <f ca="1">'1ER PERIODOADMINISTRACION'!L59</f>
        <v>4</v>
      </c>
      <c r="K153" s="19">
        <f ca="1">'1ER PERIODOADMINISTRACION'!M59</f>
        <v>5</v>
      </c>
      <c r="L153" s="19">
        <f ca="1">'1ER PERIODOADMINISTRACION'!N59</f>
        <v>3</v>
      </c>
      <c r="M153" s="19">
        <f ca="1">'1ER PERIODOADMINISTRACION'!O59</f>
        <v>2</v>
      </c>
      <c r="N153" s="19">
        <f ca="1">'1ER PERIODOADMINISTRACION'!P59</f>
        <v>70</v>
      </c>
      <c r="O153" s="19">
        <f ca="1">'1ER PERIODOADMINISTRACION'!Q59</f>
        <v>70</v>
      </c>
      <c r="P153" s="19">
        <f ca="1">'1ER PERIODOADMINISTRACION'!R59</f>
        <v>70</v>
      </c>
      <c r="Q153" s="21">
        <f ca="1">'1ER PERIODOADMINISTRACION'!S59</f>
        <v>232</v>
      </c>
    </row>
    <row r="154" spans="1:17" ht="39.75" customHeight="1" thickTop="1" thickBot="1">
      <c r="A154" s="53"/>
      <c r="B154" s="53"/>
      <c r="C154" s="7" t="s">
        <v>192</v>
      </c>
      <c r="D154" s="18">
        <f ca="1">'1ER PERIODOADMINISTRACION'!F60</f>
        <v>66.6666666666666</v>
      </c>
      <c r="E154" s="19">
        <f ca="1">'1ER PERIODOADMINISTRACION'!G60</f>
        <v>0</v>
      </c>
      <c r="F154" s="19">
        <f ca="1">'1ER PERIODOADMINISTRACION'!H60</f>
        <v>0</v>
      </c>
      <c r="G154" s="19">
        <f ca="1">'1ER PERIODOADMINISTRACION'!I60</f>
        <v>0</v>
      </c>
      <c r="H154" s="19">
        <f ca="1">'1ER PERIODOADMINISTRACION'!J60</f>
        <v>2</v>
      </c>
      <c r="I154" s="19">
        <f ca="1">'1ER PERIODOADMINISTRACION'!K60</f>
        <v>0</v>
      </c>
      <c r="J154" s="19">
        <f ca="1">'1ER PERIODOADMINISTRACION'!L60</f>
        <v>0</v>
      </c>
      <c r="K154" s="19">
        <f ca="1">'1ER PERIODOADMINISTRACION'!M60</f>
        <v>0</v>
      </c>
      <c r="L154" s="19">
        <f ca="1">'1ER PERIODOADMINISTRACION'!N60</f>
        <v>0</v>
      </c>
      <c r="M154" s="19">
        <f ca="1">'1ER PERIODOADMINISTRACION'!O60</f>
        <v>0</v>
      </c>
      <c r="N154" s="19">
        <f ca="1">'1ER PERIODOADMINISTRACION'!P60</f>
        <v>0</v>
      </c>
      <c r="O154" s="19">
        <f ca="1">'1ER PERIODOADMINISTRACION'!Q60</f>
        <v>0</v>
      </c>
      <c r="P154" s="19">
        <f ca="1">'1ER PERIODOADMINISTRACION'!R60</f>
        <v>0</v>
      </c>
      <c r="Q154" s="21">
        <f ca="1">'1ER PERIODOADMINISTRACION'!S60</f>
        <v>2</v>
      </c>
    </row>
    <row r="155" spans="1:17" ht="39.75" customHeight="1" thickTop="1" thickBot="1">
      <c r="A155" s="53"/>
      <c r="B155" s="53"/>
      <c r="C155" s="7" t="s">
        <v>193</v>
      </c>
      <c r="D155" s="18">
        <f ca="1">'1ER PERIODOADMINISTRACION'!F61</f>
        <v>30</v>
      </c>
      <c r="E155" s="19">
        <f ca="1">'1ER PERIODOADMINISTRACION'!G61</f>
        <v>0</v>
      </c>
      <c r="F155" s="19">
        <f ca="1">'1ER PERIODOADMINISTRACION'!H61</f>
        <v>0</v>
      </c>
      <c r="G155" s="19">
        <f ca="1">'1ER PERIODOADMINISTRACION'!I61</f>
        <v>0</v>
      </c>
      <c r="H155" s="19">
        <f ca="1">'1ER PERIODOADMINISTRACION'!J61</f>
        <v>30</v>
      </c>
      <c r="I155" s="19">
        <f ca="1">'1ER PERIODOADMINISTRACION'!K61</f>
        <v>0</v>
      </c>
      <c r="J155" s="19">
        <f ca="1">'1ER PERIODOADMINISTRACION'!L61</f>
        <v>0</v>
      </c>
      <c r="K155" s="19">
        <f ca="1">'1ER PERIODOADMINISTRACION'!M61</f>
        <v>0</v>
      </c>
      <c r="L155" s="19">
        <f ca="1">'1ER PERIODOADMINISTRACION'!N61</f>
        <v>0</v>
      </c>
      <c r="M155" s="19">
        <f ca="1">'1ER PERIODOADMINISTRACION'!O61</f>
        <v>0</v>
      </c>
      <c r="N155" s="19">
        <f ca="1">'1ER PERIODOADMINISTRACION'!P61</f>
        <v>0</v>
      </c>
      <c r="O155" s="19">
        <f ca="1">'1ER PERIODOADMINISTRACION'!Q61</f>
        <v>0</v>
      </c>
      <c r="P155" s="19">
        <f ca="1">'1ER PERIODOADMINISTRACION'!R61</f>
        <v>0</v>
      </c>
      <c r="Q155" s="21">
        <f ca="1">'1ER PERIODOADMINISTRACION'!S61</f>
        <v>30</v>
      </c>
    </row>
    <row r="156" spans="1:17" ht="39.75" customHeight="1" thickTop="1" thickBot="1">
      <c r="A156" s="53"/>
      <c r="B156" s="53"/>
      <c r="C156" s="7" t="s">
        <v>194</v>
      </c>
      <c r="D156" s="18">
        <f ca="1">'1ER PERIODOADMINISTRACION'!F62</f>
        <v>367.34567901234499</v>
      </c>
      <c r="E156" s="19">
        <f ca="1">'1ER PERIODOADMINISTRACION'!G62</f>
        <v>1550</v>
      </c>
      <c r="F156" s="19">
        <f ca="1">'1ER PERIODOADMINISTRACION'!H62</f>
        <v>1450</v>
      </c>
      <c r="G156" s="19">
        <f ca="1">'1ER PERIODOADMINISTRACION'!I62</f>
        <v>1650</v>
      </c>
      <c r="H156" s="19">
        <f ca="1">'1ER PERIODOADMINISTRACION'!J62</f>
        <v>130</v>
      </c>
      <c r="I156" s="19">
        <f ca="1">'1ER PERIODOADMINISTRACION'!K62</f>
        <v>140</v>
      </c>
      <c r="J156" s="19">
        <f ca="1">'1ER PERIODOADMINISTRACION'!L62</f>
        <v>140</v>
      </c>
      <c r="K156" s="19">
        <f ca="1">'1ER PERIODOADMINISTRACION'!M62</f>
        <v>144</v>
      </c>
      <c r="L156" s="19">
        <f ca="1">'1ER PERIODOADMINISTRACION'!N62</f>
        <v>138</v>
      </c>
      <c r="M156" s="19">
        <f ca="1">'1ER PERIODOADMINISTRACION'!O62</f>
        <v>134</v>
      </c>
      <c r="N156" s="19">
        <f ca="1">'1ER PERIODOADMINISTRACION'!P62</f>
        <v>160</v>
      </c>
      <c r="O156" s="19">
        <f ca="1">'1ER PERIODOADMINISTRACION'!Q62</f>
        <v>145</v>
      </c>
      <c r="P156" s="19">
        <f ca="1">'1ER PERIODOADMINISTRACION'!R62</f>
        <v>170</v>
      </c>
      <c r="Q156" s="21">
        <f ca="1">'1ER PERIODOADMINISTRACION'!S62</f>
        <v>5951</v>
      </c>
    </row>
    <row r="157" spans="1:17" ht="39.75" customHeight="1" thickTop="1" thickBot="1">
      <c r="A157" s="53"/>
      <c r="B157" s="53"/>
      <c r="C157" s="7" t="s">
        <v>195</v>
      </c>
      <c r="D157" s="18">
        <f ca="1">'1ER PERIODOADMINISTRACION'!F63</f>
        <v>169.04761904761901</v>
      </c>
      <c r="E157" s="19">
        <f ca="1">'1ER PERIODOADMINISTRACION'!G63</f>
        <v>16</v>
      </c>
      <c r="F157" s="19">
        <f ca="1">'1ER PERIODOADMINISTRACION'!H63</f>
        <v>25</v>
      </c>
      <c r="G157" s="19">
        <f ca="1">'1ER PERIODOADMINISTRACION'!I63</f>
        <v>15</v>
      </c>
      <c r="H157" s="19">
        <f ca="1">'1ER PERIODOADMINISTRACION'!J63</f>
        <v>8</v>
      </c>
      <c r="I157" s="19">
        <f ca="1">'1ER PERIODOADMINISTRACION'!K63</f>
        <v>10</v>
      </c>
      <c r="J157" s="19">
        <f ca="1">'1ER PERIODOADMINISTRACION'!L63</f>
        <v>10</v>
      </c>
      <c r="K157" s="19">
        <f ca="1">'1ER PERIODOADMINISTRACION'!M63</f>
        <v>8</v>
      </c>
      <c r="L157" s="19">
        <f ca="1">'1ER PERIODOADMINISTRACION'!N63</f>
        <v>7</v>
      </c>
      <c r="M157" s="19">
        <f ca="1">'1ER PERIODOADMINISTRACION'!O63</f>
        <v>6</v>
      </c>
      <c r="N157" s="19">
        <f ca="1">'1ER PERIODOADMINISTRACION'!P63</f>
        <v>11</v>
      </c>
      <c r="O157" s="19">
        <f ca="1">'1ER PERIODOADMINISTRACION'!Q63</f>
        <v>10</v>
      </c>
      <c r="P157" s="19">
        <f ca="1">'1ER PERIODOADMINISTRACION'!R63</f>
        <v>16</v>
      </c>
      <c r="Q157" s="21">
        <f ca="1">'1ER PERIODOADMINISTRACION'!S63</f>
        <v>142</v>
      </c>
    </row>
    <row r="158" spans="1:17" ht="39.75" customHeight="1" thickTop="1" thickBot="1">
      <c r="A158" s="53"/>
      <c r="B158" s="53"/>
      <c r="C158" s="7" t="s">
        <v>196</v>
      </c>
      <c r="D158" s="18">
        <f ca="1">'1ER PERIODOADMINISTRACION'!F64</f>
        <v>85.888111888111794</v>
      </c>
      <c r="E158" s="19">
        <f ca="1">'1ER PERIODOADMINISTRACION'!G64</f>
        <v>0</v>
      </c>
      <c r="F158" s="19">
        <f ca="1">'1ER PERIODOADMINISTRACION'!H64</f>
        <v>0</v>
      </c>
      <c r="G158" s="19">
        <f ca="1">'1ER PERIODOADMINISTRACION'!I64</f>
        <v>0</v>
      </c>
      <c r="H158" s="19">
        <f ca="1">'1ER PERIODOADMINISTRACION'!J64</f>
        <v>980</v>
      </c>
      <c r="I158" s="19">
        <f ca="1">'1ER PERIODOADMINISTRACION'!K64</f>
        <v>1340</v>
      </c>
      <c r="J158" s="19">
        <f ca="1">'1ER PERIODOADMINISTRACION'!L64</f>
        <v>1282</v>
      </c>
      <c r="K158" s="19">
        <f ca="1">'1ER PERIODOADMINISTRACION'!M64</f>
        <v>1962</v>
      </c>
      <c r="L158" s="19">
        <f ca="1">'1ER PERIODOADMINISTRACION'!N64</f>
        <v>1543</v>
      </c>
      <c r="M158" s="19">
        <f ca="1">'1ER PERIODOADMINISTRACION'!O64</f>
        <v>1225</v>
      </c>
      <c r="N158" s="19">
        <f ca="1">'1ER PERIODOADMINISTRACION'!P64</f>
        <v>1200</v>
      </c>
      <c r="O158" s="19">
        <f ca="1">'1ER PERIODOADMINISTRACION'!Q64</f>
        <v>1300</v>
      </c>
      <c r="P158" s="19">
        <f ca="1">'1ER PERIODOADMINISTRACION'!R64</f>
        <v>1450</v>
      </c>
      <c r="Q158" s="21">
        <f ca="1">'1ER PERIODOADMINISTRACION'!S64</f>
        <v>12282</v>
      </c>
    </row>
    <row r="159" spans="1:17" ht="39.75" customHeight="1" thickTop="1" thickBot="1">
      <c r="A159" s="53"/>
      <c r="B159" s="53"/>
      <c r="C159" s="7" t="s">
        <v>197</v>
      </c>
      <c r="D159" s="18">
        <f ca="1">'1ER PERIODOADMINISTRACION'!F65</f>
        <v>522.45614035087704</v>
      </c>
      <c r="E159" s="19">
        <f ca="1">'1ER PERIODOADMINISTRACION'!G65</f>
        <v>1500</v>
      </c>
      <c r="F159" s="19">
        <f ca="1">'1ER PERIODOADMINISTRACION'!H65</f>
        <v>1750</v>
      </c>
      <c r="G159" s="19">
        <f ca="1">'1ER PERIODOADMINISTRACION'!I65</f>
        <v>1800</v>
      </c>
      <c r="H159" s="19">
        <f ca="1">'1ER PERIODOADMINISTRACION'!J65</f>
        <v>80</v>
      </c>
      <c r="I159" s="19">
        <f ca="1">'1ER PERIODOADMINISTRACION'!K65</f>
        <v>70</v>
      </c>
      <c r="J159" s="19">
        <f ca="1">'1ER PERIODOADMINISTRACION'!L65</f>
        <v>80</v>
      </c>
      <c r="K159" s="19">
        <f ca="1">'1ER PERIODOADMINISTRACION'!M65</f>
        <v>124</v>
      </c>
      <c r="L159" s="19">
        <f ca="1">'1ER PERIODOADMINISTRACION'!N65</f>
        <v>109</v>
      </c>
      <c r="M159" s="19">
        <f ca="1">'1ER PERIODOADMINISTRACION'!O65</f>
        <v>93</v>
      </c>
      <c r="N159" s="19">
        <f ca="1">'1ER PERIODOADMINISTRACION'!P65</f>
        <v>110</v>
      </c>
      <c r="O159" s="19">
        <f ca="1">'1ER PERIODOADMINISTRACION'!Q65</f>
        <v>120</v>
      </c>
      <c r="P159" s="19">
        <f ca="1">'1ER PERIODOADMINISTRACION'!R65</f>
        <v>120</v>
      </c>
      <c r="Q159" s="21">
        <f ca="1">'1ER PERIODOADMINISTRACION'!S65</f>
        <v>5956</v>
      </c>
    </row>
    <row r="160" spans="1:17" ht="39.75" customHeight="1" thickTop="1" thickBot="1">
      <c r="A160" s="53"/>
      <c r="B160" s="53"/>
      <c r="C160" s="7" t="s">
        <v>198</v>
      </c>
      <c r="D160" s="18">
        <f ca="1">'1ER PERIODOADMINISTRACION'!F66</f>
        <v>197.5</v>
      </c>
      <c r="E160" s="19">
        <f ca="1">'1ER PERIODOADMINISTRACION'!G66</f>
        <v>715</v>
      </c>
      <c r="F160" s="19">
        <f ca="1">'1ER PERIODOADMINISTRACION'!H66</f>
        <v>420</v>
      </c>
      <c r="G160" s="19">
        <f ca="1">'1ER PERIODOADMINISTRACION'!I66</f>
        <v>285</v>
      </c>
      <c r="H160" s="19">
        <f ca="1">'1ER PERIODOADMINISTRACION'!J66</f>
        <v>120</v>
      </c>
      <c r="I160" s="19">
        <f ca="1">'1ER PERIODOADMINISTRACION'!K66</f>
        <v>130</v>
      </c>
      <c r="J160" s="19">
        <f ca="1">'1ER PERIODOADMINISTRACION'!L66</f>
        <v>130</v>
      </c>
      <c r="K160" s="19">
        <f ca="1">'1ER PERIODOADMINISTRACION'!M66</f>
        <v>80</v>
      </c>
      <c r="L160" s="19">
        <f ca="1">'1ER PERIODOADMINISTRACION'!N66</f>
        <v>106</v>
      </c>
      <c r="M160" s="19">
        <f ca="1">'1ER PERIODOADMINISTRACION'!O66</f>
        <v>132</v>
      </c>
      <c r="N160" s="19">
        <f ca="1">'1ER PERIODOADMINISTRACION'!P66</f>
        <v>140</v>
      </c>
      <c r="O160" s="19">
        <f ca="1">'1ER PERIODOADMINISTRACION'!Q66</f>
        <v>135</v>
      </c>
      <c r="P160" s="19">
        <f ca="1">'1ER PERIODOADMINISTRACION'!R66</f>
        <v>135</v>
      </c>
      <c r="Q160" s="21">
        <f ca="1">'1ER PERIODOADMINISTRACION'!S66</f>
        <v>2528</v>
      </c>
    </row>
    <row r="161" spans="1:17" ht="39.75" customHeight="1" thickTop="1" thickBot="1">
      <c r="A161" s="53"/>
      <c r="B161" s="53"/>
      <c r="C161" s="7" t="s">
        <v>199</v>
      </c>
      <c r="D161" s="18">
        <f ca="1">'1ER PERIODOADMINISTRACION'!F67</f>
        <v>169.17148362235</v>
      </c>
      <c r="E161" s="19">
        <f ca="1">'1ER PERIODOADMINISTRACION'!G67</f>
        <v>250</v>
      </c>
      <c r="F161" s="19">
        <f ca="1">'1ER PERIODOADMINISTRACION'!H67</f>
        <v>280</v>
      </c>
      <c r="G161" s="19">
        <f ca="1">'1ER PERIODOADMINISTRACION'!I67</f>
        <v>125</v>
      </c>
      <c r="H161" s="19">
        <f ca="1">'1ER PERIODOADMINISTRACION'!J67</f>
        <v>15</v>
      </c>
      <c r="I161" s="19">
        <f ca="1">'1ER PERIODOADMINISTRACION'!K67</f>
        <v>14</v>
      </c>
      <c r="J161" s="19">
        <f ca="1">'1ER PERIODOADMINISTRACION'!L67</f>
        <v>16</v>
      </c>
      <c r="K161" s="19">
        <f ca="1">'1ER PERIODOADMINISTRACION'!M67</f>
        <v>66</v>
      </c>
      <c r="L161" s="19">
        <f ca="1">'1ER PERIODOADMINISTRACION'!N67</f>
        <v>51</v>
      </c>
      <c r="M161" s="19">
        <f ca="1">'1ER PERIODOADMINISTRACION'!O67</f>
        <v>36</v>
      </c>
      <c r="N161" s="19">
        <f ca="1">'1ER PERIODOADMINISTRACION'!P67</f>
        <v>7</v>
      </c>
      <c r="O161" s="19">
        <f ca="1">'1ER PERIODOADMINISTRACION'!Q67</f>
        <v>8</v>
      </c>
      <c r="P161" s="19">
        <f ca="1">'1ER PERIODOADMINISTRACION'!R67</f>
        <v>10</v>
      </c>
      <c r="Q161" s="21">
        <f ca="1">'1ER PERIODOADMINISTRACION'!S67</f>
        <v>878</v>
      </c>
    </row>
    <row r="162" spans="1:17" ht="39.75" customHeight="1" thickTop="1" thickBot="1">
      <c r="A162" s="53"/>
      <c r="B162" s="53"/>
      <c r="C162" s="7" t="s">
        <v>200</v>
      </c>
      <c r="D162" s="18">
        <f ca="1">'1ER PERIODOADMINISTRACION'!F68</f>
        <v>119.70085470085399</v>
      </c>
      <c r="E162" s="19">
        <f ca="1">'1ER PERIODOADMINISTRACION'!G68</f>
        <v>429</v>
      </c>
      <c r="F162" s="19">
        <f ca="1">'1ER PERIODOADMINISTRACION'!H68</f>
        <v>365</v>
      </c>
      <c r="G162" s="19">
        <f ca="1">'1ER PERIODOADMINISTRACION'!I68</f>
        <v>250</v>
      </c>
      <c r="H162" s="19">
        <f ca="1">'1ER PERIODOADMINISTRACION'!J68</f>
        <v>150</v>
      </c>
      <c r="I162" s="19">
        <f ca="1">'1ER PERIODOADMINISTRACION'!K68</f>
        <v>140</v>
      </c>
      <c r="J162" s="19">
        <f ca="1">'1ER PERIODOADMINISTRACION'!L68</f>
        <v>150</v>
      </c>
      <c r="K162" s="19">
        <f ca="1">'1ER PERIODOADMINISTRACION'!M68</f>
        <v>202</v>
      </c>
      <c r="L162" s="19">
        <f ca="1">'1ER PERIODOADMINISTRACION'!N68</f>
        <v>208</v>
      </c>
      <c r="M162" s="19">
        <f ca="1">'1ER PERIODOADMINISTRACION'!O68</f>
        <v>215</v>
      </c>
      <c r="N162" s="19">
        <f ca="1">'1ER PERIODOADMINISTRACION'!P68</f>
        <v>230</v>
      </c>
      <c r="O162" s="19">
        <f ca="1">'1ER PERIODOADMINISTRACION'!Q68</f>
        <v>222</v>
      </c>
      <c r="P162" s="19">
        <f ca="1">'1ER PERIODOADMINISTRACION'!R68</f>
        <v>240</v>
      </c>
      <c r="Q162" s="21">
        <f ca="1">'1ER PERIODOADMINISTRACION'!S68</f>
        <v>2801</v>
      </c>
    </row>
    <row r="163" spans="1:17" ht="39.75" customHeight="1" thickTop="1" thickBot="1">
      <c r="A163" s="53"/>
      <c r="B163" s="53"/>
      <c r="C163" s="7" t="s">
        <v>201</v>
      </c>
      <c r="D163" s="18">
        <f ca="1">'1ER PERIODOADMINISTRACION'!F69</f>
        <v>118.333333333333</v>
      </c>
      <c r="E163" s="19">
        <f ca="1">'1ER PERIODOADMINISTRACION'!G69</f>
        <v>80</v>
      </c>
      <c r="F163" s="19">
        <f ca="1">'1ER PERIODOADMINISTRACION'!H69</f>
        <v>75</v>
      </c>
      <c r="G163" s="19">
        <f ca="1">'1ER PERIODOADMINISTRACION'!I69</f>
        <v>100</v>
      </c>
      <c r="H163" s="19">
        <f ca="1">'1ER PERIODOADMINISTRACION'!J69</f>
        <v>60</v>
      </c>
      <c r="I163" s="19">
        <f ca="1">'1ER PERIODOADMINISTRACION'!K69</f>
        <v>60</v>
      </c>
      <c r="J163" s="19">
        <f ca="1">'1ER PERIODOADMINISTRACION'!L69</f>
        <v>60</v>
      </c>
      <c r="K163" s="19">
        <f ca="1">'1ER PERIODOADMINISTRACION'!M69</f>
        <v>39</v>
      </c>
      <c r="L163" s="19">
        <f ca="1">'1ER PERIODOADMINISTRACION'!N69</f>
        <v>42</v>
      </c>
      <c r="M163" s="19">
        <f ca="1">'1ER PERIODOADMINISTRACION'!O69</f>
        <v>27</v>
      </c>
      <c r="N163" s="19">
        <f ca="1">'1ER PERIODOADMINISTRACION'!P69</f>
        <v>32</v>
      </c>
      <c r="O163" s="19">
        <f ca="1">'1ER PERIODOADMINISTRACION'!Q69</f>
        <v>30</v>
      </c>
      <c r="P163" s="19">
        <f ca="1">'1ER PERIODOADMINISTRACION'!R69</f>
        <v>34</v>
      </c>
      <c r="Q163" s="21">
        <f ca="1">'1ER PERIODOADMINISTRACION'!S69</f>
        <v>639</v>
      </c>
    </row>
    <row r="164" spans="1:17" ht="39.75" customHeight="1" thickTop="1" thickBot="1">
      <c r="A164" s="53"/>
      <c r="B164" s="53"/>
      <c r="C164" s="7" t="s">
        <v>202</v>
      </c>
      <c r="D164" s="18">
        <f ca="1">'1ER PERIODOADMINISTRACION'!F70</f>
        <v>171.56862745097999</v>
      </c>
      <c r="E164" s="19">
        <f ca="1">'1ER PERIODOADMINISTRACION'!G70</f>
        <v>25</v>
      </c>
      <c r="F164" s="19">
        <f ca="1">'1ER PERIODOADMINISTRACION'!H70</f>
        <v>35</v>
      </c>
      <c r="G164" s="19">
        <f ca="1">'1ER PERIODOADMINISTRACION'!I70</f>
        <v>20</v>
      </c>
      <c r="H164" s="19">
        <f ca="1">'1ER PERIODOADMINISTRACION'!J70</f>
        <v>12</v>
      </c>
      <c r="I164" s="19">
        <f ca="1">'1ER PERIODOADMINISTRACION'!K70</f>
        <v>10</v>
      </c>
      <c r="J164" s="19">
        <f ca="1">'1ER PERIODOADMINISTRACION'!L70</f>
        <v>8</v>
      </c>
      <c r="K164" s="19">
        <f ca="1">'1ER PERIODOADMINISTRACION'!M70</f>
        <v>38</v>
      </c>
      <c r="L164" s="19">
        <f ca="1">'1ER PERIODOADMINISTRACION'!N70</f>
        <v>36</v>
      </c>
      <c r="M164" s="19">
        <f ca="1">'1ER PERIODOADMINISTRACION'!O70</f>
        <v>23</v>
      </c>
      <c r="N164" s="19">
        <f ca="1">'1ER PERIODOADMINISTRACION'!P70</f>
        <v>53</v>
      </c>
      <c r="O164" s="19">
        <f ca="1">'1ER PERIODOADMINISTRACION'!Q70</f>
        <v>50</v>
      </c>
      <c r="P164" s="19">
        <f ca="1">'1ER PERIODOADMINISTRACION'!R70</f>
        <v>40</v>
      </c>
      <c r="Q164" s="21">
        <f ca="1">'1ER PERIODOADMINISTRACION'!S70</f>
        <v>350</v>
      </c>
    </row>
    <row r="165" spans="1:17" ht="39.75" customHeight="1" thickTop="1" thickBot="1">
      <c r="A165" s="53"/>
      <c r="B165" s="53"/>
      <c r="C165" s="7" t="s">
        <v>203</v>
      </c>
      <c r="D165" s="18">
        <f ca="1">'1ER PERIODOADMINISTRACION'!F71</f>
        <v>173.04761904761901</v>
      </c>
      <c r="E165" s="19">
        <f ca="1">'1ER PERIODOADMINISTRACION'!G71</f>
        <v>2650</v>
      </c>
      <c r="F165" s="19">
        <f ca="1">'1ER PERIODOADMINISTRACION'!H71</f>
        <v>2750</v>
      </c>
      <c r="G165" s="19">
        <f ca="1">'1ER PERIODOADMINISTRACION'!I71</f>
        <v>3000</v>
      </c>
      <c r="H165" s="19">
        <f ca="1">'1ER PERIODOADMINISTRACION'!J71</f>
        <v>880</v>
      </c>
      <c r="I165" s="19">
        <f ca="1">'1ER PERIODOADMINISTRACION'!K71</f>
        <v>890</v>
      </c>
      <c r="J165" s="19">
        <f ca="1">'1ER PERIODOADMINISTRACION'!L71</f>
        <v>1000</v>
      </c>
      <c r="K165" s="19">
        <f ca="1">'1ER PERIODOADMINISTRACION'!M71</f>
        <v>1038</v>
      </c>
      <c r="L165" s="19">
        <f ca="1">'1ER PERIODOADMINISTRACION'!N71</f>
        <v>883</v>
      </c>
      <c r="M165" s="19">
        <f ca="1">'1ER PERIODOADMINISTRACION'!O71</f>
        <v>729</v>
      </c>
      <c r="N165" s="19">
        <f ca="1">'1ER PERIODOADMINISTRACION'!P71</f>
        <v>1500</v>
      </c>
      <c r="O165" s="19">
        <f ca="1">'1ER PERIODOADMINISTRACION'!Q71</f>
        <v>1400</v>
      </c>
      <c r="P165" s="19">
        <f ca="1">'1ER PERIODOADMINISTRACION'!R71</f>
        <v>1450</v>
      </c>
      <c r="Q165" s="21">
        <f ca="1">'1ER PERIODOADMINISTRACION'!S71</f>
        <v>18170</v>
      </c>
    </row>
    <row r="166" spans="1:17" ht="39.75" customHeight="1" thickTop="1" thickBot="1">
      <c r="A166" s="53"/>
      <c r="B166" s="53"/>
      <c r="C166" s="7" t="s">
        <v>204</v>
      </c>
      <c r="D166" s="18">
        <f ca="1">'1ER PERIODOADMINISTRACION'!F72</f>
        <v>151.17021276595699</v>
      </c>
      <c r="E166" s="19">
        <f ca="1">'1ER PERIODOADMINISTRACION'!G72</f>
        <v>800</v>
      </c>
      <c r="F166" s="19">
        <f ca="1">'1ER PERIODOADMINISTRACION'!H72</f>
        <v>700</v>
      </c>
      <c r="G166" s="19">
        <f ca="1">'1ER PERIODOADMINISTRACION'!I72</f>
        <v>450</v>
      </c>
      <c r="H166" s="19">
        <f ca="1">'1ER PERIODOADMINISTRACION'!J72</f>
        <v>200</v>
      </c>
      <c r="I166" s="19">
        <f ca="1">'1ER PERIODOADMINISTRACION'!K72</f>
        <v>180</v>
      </c>
      <c r="J166" s="19">
        <f ca="1">'1ER PERIODOADMINISTRACION'!L72</f>
        <v>200</v>
      </c>
      <c r="K166" s="19">
        <f ca="1">'1ER PERIODOADMINISTRACION'!M72</f>
        <v>924</v>
      </c>
      <c r="L166" s="19">
        <f ca="1">'1ER PERIODOADMINISTRACION'!N72</f>
        <v>710</v>
      </c>
      <c r="M166" s="19">
        <f ca="1">'1ER PERIODOADMINISTRACION'!O72</f>
        <v>496</v>
      </c>
      <c r="N166" s="19">
        <f ca="1">'1ER PERIODOADMINISTRACION'!P72</f>
        <v>1366</v>
      </c>
      <c r="O166" s="19">
        <f ca="1">'1ER PERIODOADMINISTRACION'!Q72</f>
        <v>1200</v>
      </c>
      <c r="P166" s="19">
        <f ca="1">'1ER PERIODOADMINISTRACION'!R72</f>
        <v>1300</v>
      </c>
      <c r="Q166" s="21">
        <f ca="1">'1ER PERIODOADMINISTRACION'!S72</f>
        <v>8526</v>
      </c>
    </row>
    <row r="167" spans="1:17" ht="39.75" customHeight="1" thickTop="1" thickBot="1">
      <c r="A167" s="53"/>
      <c r="B167" s="53"/>
      <c r="C167" s="7" t="s">
        <v>205</v>
      </c>
      <c r="D167" s="18">
        <f ca="1">'1ER PERIODOADMINISTRACION'!F73</f>
        <v>117.222222222222</v>
      </c>
      <c r="E167" s="19">
        <f ca="1">'1ER PERIODOADMINISTRACION'!G73</f>
        <v>80</v>
      </c>
      <c r="F167" s="19">
        <f ca="1">'1ER PERIODOADMINISTRACION'!H73</f>
        <v>75</v>
      </c>
      <c r="G167" s="19">
        <f ca="1">'1ER PERIODOADMINISTRACION'!I73</f>
        <v>70</v>
      </c>
      <c r="H167" s="19">
        <f ca="1">'1ER PERIODOADMINISTRACION'!J73</f>
        <v>24</v>
      </c>
      <c r="I167" s="19">
        <f ca="1">'1ER PERIODOADMINISTRACION'!K73</f>
        <v>95</v>
      </c>
      <c r="J167" s="19">
        <f ca="1">'1ER PERIODOADMINISTRACION'!L73</f>
        <v>136</v>
      </c>
      <c r="K167" s="19">
        <f ca="1">'1ER PERIODOADMINISTRACION'!M73</f>
        <v>99</v>
      </c>
      <c r="L167" s="19">
        <f ca="1">'1ER PERIODOADMINISTRACION'!N73</f>
        <v>100</v>
      </c>
      <c r="M167" s="19">
        <f ca="1">'1ER PERIODOADMINISTRACION'!O73</f>
        <v>89</v>
      </c>
      <c r="N167" s="19">
        <f ca="1">'1ER PERIODOADMINISTRACION'!P73</f>
        <v>102</v>
      </c>
      <c r="O167" s="19">
        <f ca="1">'1ER PERIODOADMINISTRACION'!Q73</f>
        <v>92</v>
      </c>
      <c r="P167" s="19">
        <f ca="1">'1ER PERIODOADMINISTRACION'!R73</f>
        <v>93</v>
      </c>
      <c r="Q167" s="21">
        <f ca="1">'1ER PERIODOADMINISTRACION'!S73</f>
        <v>1055</v>
      </c>
    </row>
    <row r="168" spans="1:17" ht="39.75" customHeight="1" thickTop="1" thickBot="1">
      <c r="A168" s="53"/>
      <c r="B168" s="53"/>
      <c r="C168" s="7" t="s">
        <v>206</v>
      </c>
      <c r="D168" s="18">
        <f ca="1">'1ER PERIODOADMINISTRACION'!F74</f>
        <v>90.829986613119104</v>
      </c>
      <c r="E168" s="19">
        <f ca="1">'1ER PERIODOADMINISTRACION'!G74</f>
        <v>125</v>
      </c>
      <c r="F168" s="19">
        <f ca="1">'1ER PERIODOADMINISTRACION'!H74</f>
        <v>98</v>
      </c>
      <c r="G168" s="19">
        <f ca="1">'1ER PERIODOADMINISTRACION'!I74</f>
        <v>104</v>
      </c>
      <c r="H168" s="19">
        <f ca="1">'1ER PERIODOADMINISTRACION'!J74</f>
        <v>400</v>
      </c>
      <c r="I168" s="19">
        <f ca="1">'1ER PERIODOADMINISTRACION'!K74</f>
        <v>568</v>
      </c>
      <c r="J168" s="19">
        <f ca="1">'1ER PERIODOADMINISTRACION'!L74</f>
        <v>706</v>
      </c>
      <c r="K168" s="19">
        <f ca="1">'1ER PERIODOADMINISTRACION'!M74</f>
        <v>548</v>
      </c>
      <c r="L168" s="19">
        <f ca="1">'1ER PERIODOADMINISTRACION'!N74</f>
        <v>620</v>
      </c>
      <c r="M168" s="19">
        <f ca="1">'1ER PERIODOADMINISTRACION'!O74</f>
        <v>521</v>
      </c>
      <c r="N168" s="19">
        <f ca="1">'1ER PERIODOADMINISTRACION'!P74</f>
        <v>580</v>
      </c>
      <c r="O168" s="19">
        <f ca="1">'1ER PERIODOADMINISTRACION'!Q74</f>
        <v>600</v>
      </c>
      <c r="P168" s="19">
        <f ca="1">'1ER PERIODOADMINISTRACION'!R74</f>
        <v>558</v>
      </c>
      <c r="Q168" s="21">
        <f ca="1">'1ER PERIODOADMINISTRACION'!S74</f>
        <v>5428</v>
      </c>
    </row>
    <row r="169" spans="1:17" ht="39.75" customHeight="1" thickTop="1" thickBot="1">
      <c r="A169" s="53"/>
      <c r="B169" s="53"/>
      <c r="C169" s="7" t="s">
        <v>207</v>
      </c>
      <c r="D169" s="18">
        <f ca="1">'1ER PERIODOADMINISTRACION'!F75</f>
        <v>124.057971014492</v>
      </c>
      <c r="E169" s="19">
        <f ca="1">'1ER PERIODOADMINISTRACION'!G75</f>
        <v>2650</v>
      </c>
      <c r="F169" s="19">
        <f ca="1">'1ER PERIODOADMINISTRACION'!H75</f>
        <v>2750</v>
      </c>
      <c r="G169" s="19">
        <f ca="1">'1ER PERIODOADMINISTRACION'!I75</f>
        <v>3000</v>
      </c>
      <c r="H169" s="19">
        <f ca="1">'1ER PERIODOADMINISTRACION'!J75</f>
        <v>1500</v>
      </c>
      <c r="I169" s="19">
        <f ca="1">'1ER PERIODOADMINISTRACION'!K75</f>
        <v>1200</v>
      </c>
      <c r="J169" s="19">
        <f ca="1">'1ER PERIODOADMINISTRACION'!L75</f>
        <v>1300</v>
      </c>
      <c r="K169" s="19">
        <f ca="1">'1ER PERIODOADMINISTRACION'!M75</f>
        <v>1038</v>
      </c>
      <c r="L169" s="19">
        <f ca="1">'1ER PERIODOADMINISTRACION'!N75</f>
        <v>883</v>
      </c>
      <c r="M169" s="19">
        <f ca="1">'1ER PERIODOADMINISTRACION'!O75</f>
        <v>729</v>
      </c>
      <c r="N169" s="19">
        <f ca="1">'1ER PERIODOADMINISTRACION'!P75</f>
        <v>800</v>
      </c>
      <c r="O169" s="19">
        <f ca="1">'1ER PERIODOADMINISTRACION'!Q75</f>
        <v>670</v>
      </c>
      <c r="P169" s="19">
        <f ca="1">'1ER PERIODOADMINISTRACION'!R75</f>
        <v>600</v>
      </c>
      <c r="Q169" s="21">
        <f ca="1">'1ER PERIODOADMINISTRACION'!S75</f>
        <v>17120</v>
      </c>
    </row>
    <row r="170" spans="1:17" ht="39.75" customHeight="1" thickTop="1" thickBot="1">
      <c r="A170" s="53"/>
      <c r="B170" s="53"/>
      <c r="C170" s="7" t="s">
        <v>208</v>
      </c>
      <c r="D170" s="18">
        <f ca="1">'1ER PERIODOADMINISTRACION'!F76</f>
        <v>78.125</v>
      </c>
      <c r="E170" s="19">
        <f ca="1">'1ER PERIODOADMINISTRACION'!G76</f>
        <v>800</v>
      </c>
      <c r="F170" s="19">
        <f ca="1">'1ER PERIODOADMINISTRACION'!H76</f>
        <v>700</v>
      </c>
      <c r="G170" s="19">
        <f ca="1">'1ER PERIODOADMINISTRACION'!I76</f>
        <v>450</v>
      </c>
      <c r="H170" s="19">
        <f ca="1">'1ER PERIODOADMINISTRACION'!J76</f>
        <v>500</v>
      </c>
      <c r="I170" s="19">
        <f ca="1">'1ER PERIODOADMINISTRACION'!K76</f>
        <v>300</v>
      </c>
      <c r="J170" s="19">
        <f ca="1">'1ER PERIODOADMINISTRACION'!L76</f>
        <v>400</v>
      </c>
      <c r="K170" s="19">
        <f ca="1">'1ER PERIODOADMINISTRACION'!M76</f>
        <v>924</v>
      </c>
      <c r="L170" s="19">
        <f ca="1">'1ER PERIODOADMINISTRACION'!N76</f>
        <v>710</v>
      </c>
      <c r="M170" s="19">
        <f ca="1">'1ER PERIODOADMINISTRACION'!O76</f>
        <v>496</v>
      </c>
      <c r="N170" s="19">
        <f ca="1">'1ER PERIODOADMINISTRACION'!P76</f>
        <v>800</v>
      </c>
      <c r="O170" s="19">
        <f ca="1">'1ER PERIODOADMINISTRACION'!Q76</f>
        <v>670</v>
      </c>
      <c r="P170" s="19">
        <f ca="1">'1ER PERIODOADMINISTRACION'!R76</f>
        <v>600</v>
      </c>
      <c r="Q170" s="21">
        <f ca="1">'1ER PERIODOADMINISTRACION'!S76</f>
        <v>7350</v>
      </c>
    </row>
    <row r="171" spans="1:17" ht="39.75" customHeight="1" thickTop="1" thickBot="1">
      <c r="A171" s="53"/>
      <c r="B171" s="53"/>
      <c r="C171" s="7" t="s">
        <v>209</v>
      </c>
      <c r="D171" s="18">
        <f ca="1">'1ER PERIODOADMINISTRACION'!F77</f>
        <v>84.545454545454504</v>
      </c>
      <c r="E171" s="19">
        <f ca="1">'1ER PERIODOADMINISTRACION'!G77</f>
        <v>50</v>
      </c>
      <c r="F171" s="19">
        <f ca="1">'1ER PERIODOADMINISTRACION'!H77</f>
        <v>75</v>
      </c>
      <c r="G171" s="19">
        <f ca="1">'1ER PERIODOADMINISTRACION'!I77</f>
        <v>89</v>
      </c>
      <c r="H171" s="19">
        <f ca="1">'1ER PERIODOADMINISTRACION'!J77</f>
        <v>80</v>
      </c>
      <c r="I171" s="19">
        <f ca="1">'1ER PERIODOADMINISTRACION'!K77</f>
        <v>90</v>
      </c>
      <c r="J171" s="19">
        <f ca="1">'1ER PERIODOADMINISTRACION'!L77</f>
        <v>80</v>
      </c>
      <c r="K171" s="19">
        <f ca="1">'1ER PERIODOADMINISTRACION'!M77</f>
        <v>340</v>
      </c>
      <c r="L171" s="19">
        <f ca="1">'1ER PERIODOADMINISTRACION'!N77</f>
        <v>325</v>
      </c>
      <c r="M171" s="19">
        <f ca="1">'1ER PERIODOADMINISTRACION'!O77</f>
        <v>311</v>
      </c>
      <c r="N171" s="19">
        <f ca="1">'1ER PERIODOADMINISTRACION'!P77</f>
        <v>450</v>
      </c>
      <c r="O171" s="19">
        <f ca="1">'1ER PERIODOADMINISTRACION'!Q77</f>
        <v>400</v>
      </c>
      <c r="P171" s="19">
        <f ca="1">'1ER PERIODOADMINISTRACION'!R77</f>
        <v>500</v>
      </c>
      <c r="Q171" s="21">
        <f ca="1">'1ER PERIODOADMINISTRACION'!S77</f>
        <v>2790</v>
      </c>
    </row>
    <row r="172" spans="1:17" ht="39.75" customHeight="1" thickTop="1" thickBot="1">
      <c r="A172" s="53"/>
      <c r="B172" s="53"/>
      <c r="C172" s="7" t="s">
        <v>210</v>
      </c>
      <c r="D172" s="18">
        <f ca="1">'1ER PERIODOADMINISTRACION'!F78</f>
        <v>0</v>
      </c>
      <c r="E172" s="19">
        <f ca="1">'1ER PERIODOADMINISTRACION'!G78</f>
        <v>0</v>
      </c>
      <c r="F172" s="19">
        <f ca="1">'1ER PERIODOADMINISTRACION'!H78</f>
        <v>0</v>
      </c>
      <c r="G172" s="19">
        <f ca="1">'1ER PERIODOADMINISTRACION'!I78</f>
        <v>0</v>
      </c>
      <c r="H172" s="19">
        <f ca="1">'1ER PERIODOADMINISTRACION'!J78</f>
        <v>0</v>
      </c>
      <c r="I172" s="19">
        <f ca="1">'1ER PERIODOADMINISTRACION'!K78</f>
        <v>0</v>
      </c>
      <c r="J172" s="19">
        <f ca="1">'1ER PERIODOADMINISTRACION'!L78</f>
        <v>0</v>
      </c>
      <c r="K172" s="19">
        <f ca="1">'1ER PERIODOADMINISTRACION'!M78</f>
        <v>0</v>
      </c>
      <c r="L172" s="19">
        <f ca="1">'1ER PERIODOADMINISTRACION'!N78</f>
        <v>0</v>
      </c>
      <c r="M172" s="19">
        <f ca="1">'1ER PERIODOADMINISTRACION'!O78</f>
        <v>0</v>
      </c>
      <c r="N172" s="19">
        <f ca="1">'1ER PERIODOADMINISTRACION'!P78</f>
        <v>0</v>
      </c>
      <c r="O172" s="19">
        <f ca="1">'1ER PERIODOADMINISTRACION'!Q78</f>
        <v>0</v>
      </c>
      <c r="P172" s="19">
        <f ca="1">'1ER PERIODOADMINISTRACION'!R78</f>
        <v>0</v>
      </c>
      <c r="Q172" s="21">
        <f ca="1">'1ER PERIODOADMINISTRACION'!S78</f>
        <v>0</v>
      </c>
    </row>
    <row r="173" spans="1:17" ht="39.75" customHeight="1" thickTop="1" thickBot="1">
      <c r="A173" s="53"/>
      <c r="B173" s="53"/>
      <c r="C173" s="7" t="s">
        <v>211</v>
      </c>
      <c r="D173" s="18">
        <f ca="1">'1ER PERIODOADMINISTRACION'!F79</f>
        <v>560.51587301587301</v>
      </c>
      <c r="E173" s="19">
        <f ca="1">'1ER PERIODOADMINISTRACION'!G79</f>
        <v>1250</v>
      </c>
      <c r="F173" s="19">
        <f ca="1">'1ER PERIODOADMINISTRACION'!H79</f>
        <v>520</v>
      </c>
      <c r="G173" s="19">
        <f ca="1">'1ER PERIODOADMINISTRACION'!I79</f>
        <v>450</v>
      </c>
      <c r="H173" s="19">
        <f ca="1">'1ER PERIODOADMINISTRACION'!J79</f>
        <v>60</v>
      </c>
      <c r="I173" s="19">
        <f ca="1">'1ER PERIODOADMINISTRACION'!K79</f>
        <v>80</v>
      </c>
      <c r="J173" s="19">
        <f ca="1">'1ER PERIODOADMINISTRACION'!L79</f>
        <v>70</v>
      </c>
      <c r="K173" s="19">
        <f ca="1">'1ER PERIODOADMINISTRACION'!M79</f>
        <v>40</v>
      </c>
      <c r="L173" s="19">
        <f ca="1">'1ER PERIODOADMINISTRACION'!N79</f>
        <v>37</v>
      </c>
      <c r="M173" s="19">
        <f ca="1">'1ER PERIODOADMINISTRACION'!O79</f>
        <v>33</v>
      </c>
      <c r="N173" s="19">
        <f ca="1">'1ER PERIODOADMINISTRACION'!P79</f>
        <v>45</v>
      </c>
      <c r="O173" s="19">
        <f ca="1">'1ER PERIODOADMINISTRACION'!Q79</f>
        <v>120</v>
      </c>
      <c r="P173" s="19">
        <f ca="1">'1ER PERIODOADMINISTRACION'!R79</f>
        <v>120</v>
      </c>
      <c r="Q173" s="21">
        <f ca="1">'1ER PERIODOADMINISTRACION'!S79</f>
        <v>2825</v>
      </c>
    </row>
    <row r="174" spans="1:17" ht="39.75" customHeight="1" thickTop="1" thickBot="1">
      <c r="A174" s="53"/>
      <c r="B174" s="53"/>
      <c r="C174" s="7" t="s">
        <v>212</v>
      </c>
      <c r="D174" s="18">
        <f ca="1">'1ER PERIODOADMINISTRACION'!F80</f>
        <v>174.117647058823</v>
      </c>
      <c r="E174" s="19">
        <f ca="1">'1ER PERIODOADMINISTRACION'!G80</f>
        <v>450</v>
      </c>
      <c r="F174" s="19">
        <f ca="1">'1ER PERIODOADMINISTRACION'!H80</f>
        <v>300</v>
      </c>
      <c r="G174" s="19">
        <f ca="1">'1ER PERIODOADMINISTRACION'!I80</f>
        <v>250</v>
      </c>
      <c r="H174" s="19">
        <f ca="1">'1ER PERIODOADMINISTRACION'!J80</f>
        <v>100</v>
      </c>
      <c r="I174" s="19">
        <f ca="1">'1ER PERIODOADMINISTRACION'!K80</f>
        <v>70</v>
      </c>
      <c r="J174" s="19">
        <f ca="1">'1ER PERIODOADMINISTRACION'!L80</f>
        <v>70</v>
      </c>
      <c r="K174" s="19">
        <f ca="1">'1ER PERIODOADMINISTRACION'!M80</f>
        <v>84</v>
      </c>
      <c r="L174" s="19">
        <f ca="1">'1ER PERIODOADMINISTRACION'!N80</f>
        <v>72</v>
      </c>
      <c r="M174" s="19">
        <f ca="1">'1ER PERIODOADMINISTRACION'!O80</f>
        <v>60</v>
      </c>
      <c r="N174" s="19">
        <f ca="1">'1ER PERIODOADMINISTRACION'!P80</f>
        <v>60</v>
      </c>
      <c r="O174" s="19">
        <f ca="1">'1ER PERIODOADMINISTRACION'!Q80</f>
        <v>60</v>
      </c>
      <c r="P174" s="19">
        <f ca="1">'1ER PERIODOADMINISTRACION'!R80</f>
        <v>200</v>
      </c>
      <c r="Q174" s="21">
        <f ca="1">'1ER PERIODOADMINISTRACION'!S80</f>
        <v>1776</v>
      </c>
    </row>
    <row r="175" spans="1:17" ht="39.75" customHeight="1" thickTop="1" thickBot="1">
      <c r="A175" s="53"/>
      <c r="B175" s="53"/>
      <c r="C175" s="7" t="s">
        <v>213</v>
      </c>
      <c r="D175" s="18">
        <f ca="1">'1ER PERIODOADMINISTRACION'!F81</f>
        <v>73.3333333333333</v>
      </c>
      <c r="E175" s="19">
        <f ca="1">'1ER PERIODOADMINISTRACION'!G81</f>
        <v>0</v>
      </c>
      <c r="F175" s="19">
        <f ca="1">'1ER PERIODOADMINISTRACION'!H81</f>
        <v>0</v>
      </c>
      <c r="G175" s="19">
        <f ca="1">'1ER PERIODOADMINISTRACION'!I81</f>
        <v>0</v>
      </c>
      <c r="H175" s="19">
        <f ca="1">'1ER PERIODOADMINISTRACION'!J81</f>
        <v>1</v>
      </c>
      <c r="I175" s="19">
        <f ca="1">'1ER PERIODOADMINISTRACION'!K81</f>
        <v>1</v>
      </c>
      <c r="J175" s="19">
        <f ca="1">'1ER PERIODOADMINISTRACION'!L81</f>
        <v>1</v>
      </c>
      <c r="K175" s="19">
        <f ca="1">'1ER PERIODOADMINISTRACION'!M81</f>
        <v>6</v>
      </c>
      <c r="L175" s="19">
        <f ca="1">'1ER PERIODOADMINISTRACION'!N81</f>
        <v>4</v>
      </c>
      <c r="M175" s="19">
        <f ca="1">'1ER PERIODOADMINISTRACION'!O81</f>
        <v>2</v>
      </c>
      <c r="N175" s="19">
        <f ca="1">'1ER PERIODOADMINISTRACION'!P81</f>
        <v>3</v>
      </c>
      <c r="O175" s="19">
        <f ca="1">'1ER PERIODOADMINISTRACION'!Q81</f>
        <v>2</v>
      </c>
      <c r="P175" s="19">
        <f ca="1">'1ER PERIODOADMINISTRACION'!R81</f>
        <v>2</v>
      </c>
      <c r="Q175" s="21">
        <f ca="1">'1ER PERIODOADMINISTRACION'!S81</f>
        <v>22</v>
      </c>
    </row>
    <row r="176" spans="1:17" ht="39.75" customHeight="1" thickTop="1" thickBot="1">
      <c r="A176" s="53"/>
      <c r="B176" s="53"/>
      <c r="C176" s="7" t="s">
        <v>214</v>
      </c>
      <c r="D176" s="18">
        <f ca="1">'1ER PERIODOADMINISTRACION'!F82</f>
        <v>1275</v>
      </c>
      <c r="E176" s="19">
        <f ca="1">'1ER PERIODOADMINISTRACION'!G82</f>
        <v>4300</v>
      </c>
      <c r="F176" s="19">
        <f ca="1">'1ER PERIODOADMINISTRACION'!H82</f>
        <v>4200</v>
      </c>
      <c r="G176" s="19">
        <f ca="1">'1ER PERIODOADMINISTRACION'!I82</f>
        <v>4350</v>
      </c>
      <c r="H176" s="19">
        <f ca="1">'1ER PERIODOADMINISTRACION'!J82</f>
        <v>25</v>
      </c>
      <c r="I176" s="19">
        <f ca="1">'1ER PERIODOADMINISTRACION'!K82</f>
        <v>30</v>
      </c>
      <c r="J176" s="19">
        <f ca="1">'1ER PERIODOADMINISTRACION'!L82</f>
        <v>30</v>
      </c>
      <c r="K176" s="19">
        <f ca="1">'1ER PERIODOADMINISTRACION'!M82</f>
        <v>61</v>
      </c>
      <c r="L176" s="19">
        <f ca="1">'1ER PERIODOADMINISTRACION'!N82</f>
        <v>120</v>
      </c>
      <c r="M176" s="19">
        <f ca="1">'1ER PERIODOADMINISTRACION'!O82</f>
        <v>168</v>
      </c>
      <c r="N176" s="19">
        <f ca="1">'1ER PERIODOADMINISTRACION'!P82</f>
        <v>60</v>
      </c>
      <c r="O176" s="19">
        <f ca="1">'1ER PERIODOADMINISTRACION'!Q82</f>
        <v>60</v>
      </c>
      <c r="P176" s="19">
        <f ca="1">'1ER PERIODOADMINISTRACION'!R82</f>
        <v>60</v>
      </c>
      <c r="Q176" s="21">
        <f ca="1">'1ER PERIODOADMINISTRACION'!S82</f>
        <v>13464</v>
      </c>
    </row>
    <row r="177" spans="1:17" ht="39.75" customHeight="1" thickTop="1" thickBot="1">
      <c r="A177" s="53"/>
      <c r="B177" s="53"/>
      <c r="C177" s="7" t="s">
        <v>215</v>
      </c>
      <c r="D177" s="18">
        <f ca="1">'1ER PERIODOADMINISTRACION'!F83</f>
        <v>120</v>
      </c>
      <c r="E177" s="19">
        <f ca="1">'1ER PERIODOADMINISTRACION'!G83</f>
        <v>0</v>
      </c>
      <c r="F177" s="19">
        <f ca="1">'1ER PERIODOADMINISTRACION'!H83</f>
        <v>0</v>
      </c>
      <c r="G177" s="19">
        <f ca="1">'1ER PERIODOADMINISTRACION'!I83</f>
        <v>0</v>
      </c>
      <c r="H177" s="19">
        <f ca="1">'1ER PERIODOADMINISTRACION'!J83</f>
        <v>1</v>
      </c>
      <c r="I177" s="19">
        <f ca="1">'1ER PERIODOADMINISTRACION'!K83</f>
        <v>1</v>
      </c>
      <c r="J177" s="19">
        <f ca="1">'1ER PERIODOADMINISTRACION'!L83</f>
        <v>1</v>
      </c>
      <c r="K177" s="19">
        <f ca="1">'1ER PERIODOADMINISTRACION'!M83</f>
        <v>1</v>
      </c>
      <c r="L177" s="19">
        <f ca="1">'1ER PERIODOADMINISTRACION'!N83</f>
        <v>1</v>
      </c>
      <c r="M177" s="19">
        <f ca="1">'1ER PERIODOADMINISTRACION'!O83</f>
        <v>1</v>
      </c>
      <c r="N177" s="19">
        <f ca="1">'1ER PERIODOADMINISTRACION'!P83</f>
        <v>0</v>
      </c>
      <c r="O177" s="19">
        <f ca="1">'1ER PERIODOADMINISTRACION'!Q83</f>
        <v>0</v>
      </c>
      <c r="P177" s="19">
        <f ca="1">'1ER PERIODOADMINISTRACION'!R83</f>
        <v>0</v>
      </c>
      <c r="Q177" s="21">
        <f ca="1">'1ER PERIODOADMINISTRACION'!S83</f>
        <v>6</v>
      </c>
    </row>
    <row r="178" spans="1:17" ht="39.75" customHeight="1" thickTop="1" thickBot="1">
      <c r="A178" s="53"/>
      <c r="B178" s="53"/>
      <c r="C178" s="7" t="s">
        <v>216</v>
      </c>
      <c r="D178" s="18">
        <f ca="1">'1ER PERIODOADMINISTRACION'!F84</f>
        <v>81.1458333333333</v>
      </c>
      <c r="E178" s="19">
        <f ca="1">'1ER PERIODOADMINISTRACION'!G84</f>
        <v>45</v>
      </c>
      <c r="F178" s="19">
        <f ca="1">'1ER PERIODOADMINISTRACION'!H84</f>
        <v>50</v>
      </c>
      <c r="G178" s="19">
        <f ca="1">'1ER PERIODOADMINISTRACION'!I84</f>
        <v>75</v>
      </c>
      <c r="H178" s="19">
        <f ca="1">'1ER PERIODOADMINISTRACION'!J84</f>
        <v>80</v>
      </c>
      <c r="I178" s="19">
        <f ca="1">'1ER PERIODOADMINISTRACION'!K84</f>
        <v>90</v>
      </c>
      <c r="J178" s="19">
        <f ca="1">'1ER PERIODOADMINISTRACION'!L84</f>
        <v>80</v>
      </c>
      <c r="K178" s="19">
        <f ca="1">'1ER PERIODOADMINISTRACION'!M84</f>
        <v>340</v>
      </c>
      <c r="L178" s="19">
        <f ca="1">'1ER PERIODOADMINISTRACION'!N84</f>
        <v>325</v>
      </c>
      <c r="M178" s="19">
        <f ca="1">'1ER PERIODOADMINISTRACION'!O84</f>
        <v>311</v>
      </c>
      <c r="N178" s="19">
        <f ca="1">'1ER PERIODOADMINISTRACION'!P84</f>
        <v>450</v>
      </c>
      <c r="O178" s="19">
        <f ca="1">'1ER PERIODOADMINISTRACION'!Q84</f>
        <v>670</v>
      </c>
      <c r="P178" s="19">
        <f ca="1">'1ER PERIODOADMINISTRACION'!R84</f>
        <v>600</v>
      </c>
      <c r="Q178" s="21">
        <f ca="1">'1ER PERIODOADMINISTRACION'!S84</f>
        <v>3116</v>
      </c>
    </row>
    <row r="179" spans="1:17" ht="39.75" customHeight="1" thickTop="1" thickBot="1">
      <c r="A179" s="53"/>
      <c r="B179" s="53"/>
      <c r="C179" s="7" t="s">
        <v>217</v>
      </c>
      <c r="D179" s="18">
        <f ca="1">'1ER PERIODOADMINISTRACION'!F85</f>
        <v>86.6666666666666</v>
      </c>
      <c r="E179" s="19">
        <f ca="1">'1ER PERIODOADMINISTRACION'!G85</f>
        <v>30</v>
      </c>
      <c r="F179" s="19">
        <f ca="1">'1ER PERIODOADMINISTRACION'!H85</f>
        <v>30</v>
      </c>
      <c r="G179" s="19">
        <f ca="1">'1ER PERIODOADMINISTRACION'!I85</f>
        <v>30</v>
      </c>
      <c r="H179" s="19">
        <f ca="1">'1ER PERIODOADMINISTRACION'!J85</f>
        <v>25</v>
      </c>
      <c r="I179" s="19">
        <f ca="1">'1ER PERIODOADMINISTRACION'!K85</f>
        <v>30</v>
      </c>
      <c r="J179" s="19">
        <f ca="1">'1ER PERIODOADMINISTRACION'!L85</f>
        <v>20</v>
      </c>
      <c r="K179" s="19">
        <f ca="1">'1ER PERIODOADMINISTRACION'!M85</f>
        <v>62</v>
      </c>
      <c r="L179" s="19">
        <f ca="1">'1ER PERIODOADMINISTRACION'!N85</f>
        <v>59</v>
      </c>
      <c r="M179" s="19">
        <f ca="1">'1ER PERIODOADMINISTRACION'!O85</f>
        <v>57</v>
      </c>
      <c r="N179" s="19">
        <f ca="1">'1ER PERIODOADMINISTRACION'!P85</f>
        <v>47</v>
      </c>
      <c r="O179" s="19">
        <f ca="1">'1ER PERIODOADMINISTRACION'!Q85</f>
        <v>70</v>
      </c>
      <c r="P179" s="19">
        <f ca="1">'1ER PERIODOADMINISTRACION'!R85</f>
        <v>60</v>
      </c>
      <c r="Q179" s="21">
        <f ca="1">'1ER PERIODOADMINISTRACION'!S85</f>
        <v>520</v>
      </c>
    </row>
    <row r="180" spans="1:17" ht="39.75" customHeight="1" thickTop="1" thickBot="1">
      <c r="A180" s="53"/>
      <c r="B180" s="53"/>
      <c r="C180" s="7" t="s">
        <v>218</v>
      </c>
      <c r="D180" s="18">
        <f ca="1">'1ER PERIODOADMINISTRACION'!F86</f>
        <v>90.4166666666666</v>
      </c>
      <c r="E180" s="19">
        <f ca="1">'1ER PERIODOADMINISTRACION'!G86</f>
        <v>70</v>
      </c>
      <c r="F180" s="19">
        <f ca="1">'1ER PERIODOADMINISTRACION'!H86</f>
        <v>65</v>
      </c>
      <c r="G180" s="19">
        <f ca="1">'1ER PERIODOADMINISTRACION'!I86</f>
        <v>80</v>
      </c>
      <c r="H180" s="19">
        <f ca="1">'1ER PERIODOADMINISTRACION'!J86</f>
        <v>12</v>
      </c>
      <c r="I180" s="19">
        <f ca="1">'1ER PERIODOADMINISTRACION'!K86</f>
        <v>15</v>
      </c>
      <c r="J180" s="19">
        <f ca="1">'1ER PERIODOADMINISTRACION'!L86</f>
        <v>15</v>
      </c>
      <c r="K180" s="19">
        <f ca="1">'1ER PERIODOADMINISTRACION'!M86</f>
        <v>71</v>
      </c>
      <c r="L180" s="19">
        <f ca="1">'1ER PERIODOADMINISTRACION'!N86</f>
        <v>87</v>
      </c>
      <c r="M180" s="19">
        <f ca="1">'1ER PERIODOADMINISTRACION'!O86</f>
        <v>103</v>
      </c>
      <c r="N180" s="19">
        <f ca="1">'1ER PERIODOADMINISTRACION'!P86</f>
        <v>100</v>
      </c>
      <c r="O180" s="19">
        <f ca="1">'1ER PERIODOADMINISTRACION'!Q86</f>
        <v>120</v>
      </c>
      <c r="P180" s="19">
        <f ca="1">'1ER PERIODOADMINISTRACION'!R86</f>
        <v>130</v>
      </c>
      <c r="Q180" s="21">
        <f ca="1">'1ER PERIODOADMINISTRACION'!S86</f>
        <v>868</v>
      </c>
    </row>
    <row r="181" spans="1:17" ht="39.75" customHeight="1" thickTop="1" thickBot="1">
      <c r="A181" s="53"/>
      <c r="B181" s="53"/>
      <c r="C181" s="7" t="s">
        <v>219</v>
      </c>
      <c r="D181" s="18">
        <f ca="1">'1ER PERIODOADMINISTRACION'!F87</f>
        <v>133.97435897435801</v>
      </c>
      <c r="E181" s="19">
        <f ca="1">'1ER PERIODOADMINISTRACION'!G87</f>
        <v>35</v>
      </c>
      <c r="F181" s="19">
        <f ca="1">'1ER PERIODOADMINISTRACION'!H87</f>
        <v>30</v>
      </c>
      <c r="G181" s="19">
        <f ca="1">'1ER PERIODOADMINISTRACION'!I87</f>
        <v>28</v>
      </c>
      <c r="H181" s="19">
        <f ca="1">'1ER PERIODOADMINISTRACION'!J87</f>
        <v>6</v>
      </c>
      <c r="I181" s="19">
        <f ca="1">'1ER PERIODOADMINISTRACION'!K87</f>
        <v>7</v>
      </c>
      <c r="J181" s="19">
        <f ca="1">'1ER PERIODOADMINISTRACION'!L87</f>
        <v>7</v>
      </c>
      <c r="K181" s="19">
        <f ca="1">'1ER PERIODOADMINISTRACION'!M87</f>
        <v>15</v>
      </c>
      <c r="L181" s="19">
        <f ca="1">'1ER PERIODOADMINISTRACION'!N87</f>
        <v>16</v>
      </c>
      <c r="M181" s="19">
        <f ca="1">'1ER PERIODOADMINISTRACION'!O87</f>
        <v>18</v>
      </c>
      <c r="N181" s="19">
        <f ca="1">'1ER PERIODOADMINISTRACION'!P87</f>
        <v>18</v>
      </c>
      <c r="O181" s="19">
        <f ca="1">'1ER PERIODOADMINISTRACION'!Q87</f>
        <v>14</v>
      </c>
      <c r="P181" s="19">
        <f ca="1">'1ER PERIODOADMINISTRACION'!R87</f>
        <v>15</v>
      </c>
      <c r="Q181" s="21">
        <f ca="1">'1ER PERIODOADMINISTRACION'!S87</f>
        <v>209</v>
      </c>
    </row>
    <row r="182" spans="1:17" ht="39.75" customHeight="1" thickTop="1" thickBot="1">
      <c r="A182" s="53"/>
      <c r="B182" s="53"/>
      <c r="C182" s="7" t="s">
        <v>220</v>
      </c>
      <c r="D182" s="18">
        <f ca="1">'1ER PERIODOADMINISTRACION'!F88</f>
        <v>116.38418079096</v>
      </c>
      <c r="E182" s="19">
        <f ca="1">'1ER PERIODOADMINISTRACION'!G88</f>
        <v>90</v>
      </c>
      <c r="F182" s="19">
        <f ca="1">'1ER PERIODOADMINISTRACION'!H88</f>
        <v>80</v>
      </c>
      <c r="G182" s="19">
        <f ca="1">'1ER PERIODOADMINISTRACION'!I88</f>
        <v>80</v>
      </c>
      <c r="H182" s="19">
        <f ca="1">'1ER PERIODOADMINISTRACION'!J88</f>
        <v>30</v>
      </c>
      <c r="I182" s="19">
        <f ca="1">'1ER PERIODOADMINISTRACION'!K88</f>
        <v>25</v>
      </c>
      <c r="J182" s="19">
        <f ca="1">'1ER PERIODOADMINISTRACION'!L88</f>
        <v>30</v>
      </c>
      <c r="K182" s="19">
        <f ca="1">'1ER PERIODOADMINISTRACION'!M88</f>
        <v>96</v>
      </c>
      <c r="L182" s="19">
        <f ca="1">'1ER PERIODOADMINISTRACION'!N88</f>
        <v>73</v>
      </c>
      <c r="M182" s="19">
        <f ca="1">'1ER PERIODOADMINISTRACION'!O88</f>
        <v>50</v>
      </c>
      <c r="N182" s="19">
        <f ca="1">'1ER PERIODOADMINISTRACION'!P88</f>
        <v>60</v>
      </c>
      <c r="O182" s="19">
        <f ca="1">'1ER PERIODOADMINISTRACION'!Q88</f>
        <v>130</v>
      </c>
      <c r="P182" s="19">
        <f ca="1">'1ER PERIODOADMINISTRACION'!R88</f>
        <v>80</v>
      </c>
      <c r="Q182" s="21">
        <f ca="1">'1ER PERIODOADMINISTRACION'!S88</f>
        <v>824</v>
      </c>
    </row>
    <row r="183" spans="1:17" ht="39.75" customHeight="1" thickTop="1" thickBot="1">
      <c r="A183" s="53"/>
      <c r="B183" s="53"/>
      <c r="C183" s="7" t="s">
        <v>221</v>
      </c>
      <c r="D183" s="18">
        <f ca="1">'1ER PERIODOADMINISTRACION'!F89</f>
        <v>138.461538461538</v>
      </c>
      <c r="E183" s="19">
        <f ca="1">'1ER PERIODOADMINISTRACION'!G89</f>
        <v>35</v>
      </c>
      <c r="F183" s="19">
        <f ca="1">'1ER PERIODOADMINISTRACION'!H89</f>
        <v>30</v>
      </c>
      <c r="G183" s="19">
        <f ca="1">'1ER PERIODOADMINISTRACION'!I89</f>
        <v>28</v>
      </c>
      <c r="H183" s="19">
        <f ca="1">'1ER PERIODOADMINISTRACION'!J89</f>
        <v>5</v>
      </c>
      <c r="I183" s="19">
        <f ca="1">'1ER PERIODOADMINISTRACION'!K89</f>
        <v>7</v>
      </c>
      <c r="J183" s="19">
        <f ca="1">'1ER PERIODOADMINISTRACION'!L89</f>
        <v>6</v>
      </c>
      <c r="K183" s="19">
        <f ca="1">'1ER PERIODOADMINISTRACION'!M89</f>
        <v>10</v>
      </c>
      <c r="L183" s="19">
        <f ca="1">'1ER PERIODOADMINISTRACION'!N89</f>
        <v>15</v>
      </c>
      <c r="M183" s="19">
        <f ca="1">'1ER PERIODOADMINISTRACION'!O89</f>
        <v>20</v>
      </c>
      <c r="N183" s="19">
        <f ca="1">'1ER PERIODOADMINISTRACION'!P89</f>
        <v>20</v>
      </c>
      <c r="O183" s="19">
        <f ca="1">'1ER PERIODOADMINISTRACION'!Q89</f>
        <v>20</v>
      </c>
      <c r="P183" s="19">
        <f ca="1">'1ER PERIODOADMINISTRACION'!R89</f>
        <v>20</v>
      </c>
      <c r="Q183" s="21">
        <f ca="1">'1ER PERIODOADMINISTRACION'!S89</f>
        <v>216</v>
      </c>
    </row>
    <row r="184" spans="1:17" ht="39.75" customHeight="1" thickTop="1" thickBot="1">
      <c r="A184" s="53"/>
      <c r="B184" s="53"/>
      <c r="C184" s="7" t="s">
        <v>222</v>
      </c>
      <c r="D184" s="18">
        <f ca="1">'1ER PERIODOADMINISTRACION'!F90</f>
        <v>89.657142857142802</v>
      </c>
      <c r="E184" s="19">
        <f ca="1">'1ER PERIODOADMINISTRACION'!G90</f>
        <v>85</v>
      </c>
      <c r="F184" s="19">
        <f ca="1">'1ER PERIODOADMINISTRACION'!H90</f>
        <v>100</v>
      </c>
      <c r="G184" s="19">
        <f ca="1">'1ER PERIODOADMINISTRACION'!I90</f>
        <v>120</v>
      </c>
      <c r="H184" s="19">
        <f ca="1">'1ER PERIODOADMINISTRACION'!J90</f>
        <v>30</v>
      </c>
      <c r="I184" s="19">
        <f ca="1">'1ER PERIODOADMINISTRACION'!K90</f>
        <v>30</v>
      </c>
      <c r="J184" s="19">
        <f ca="1">'1ER PERIODOADMINISTRACION'!L90</f>
        <v>35</v>
      </c>
      <c r="K184" s="19">
        <f ca="1">'1ER PERIODOADMINISTRACION'!M90</f>
        <v>228</v>
      </c>
      <c r="L184" s="19">
        <f ca="1">'1ER PERIODOADMINISTRACION'!N90</f>
        <v>201</v>
      </c>
      <c r="M184" s="19">
        <f ca="1">'1ER PERIODOADMINISTRACION'!O90</f>
        <v>174</v>
      </c>
      <c r="N184" s="19">
        <f ca="1">'1ER PERIODOADMINISTRACION'!P90</f>
        <v>130</v>
      </c>
      <c r="O184" s="19">
        <f ca="1">'1ER PERIODOADMINISTRACION'!Q90</f>
        <v>231</v>
      </c>
      <c r="P184" s="19">
        <f ca="1">'1ER PERIODOADMINISTRACION'!R90</f>
        <v>205</v>
      </c>
      <c r="Q184" s="21">
        <f ca="1">'1ER PERIODOADMINISTRACION'!S90</f>
        <v>1569</v>
      </c>
    </row>
    <row r="185" spans="1:17" ht="39.75" customHeight="1" thickTop="1" thickBot="1">
      <c r="A185" s="53"/>
      <c r="B185" s="53"/>
      <c r="C185" s="7" t="s">
        <v>223</v>
      </c>
      <c r="D185" s="18">
        <f ca="1">'1ER PERIODOADMINISTRACION'!F91</f>
        <v>178.52760736196299</v>
      </c>
      <c r="E185" s="19">
        <f ca="1">'1ER PERIODOADMINISTRACION'!G91</f>
        <v>34</v>
      </c>
      <c r="F185" s="19">
        <f ca="1">'1ER PERIODOADMINISTRACION'!H91</f>
        <v>35</v>
      </c>
      <c r="G185" s="19">
        <f ca="1">'1ER PERIODOADMINISTRACION'!I91</f>
        <v>30</v>
      </c>
      <c r="H185" s="19">
        <f ca="1">'1ER PERIODOADMINISTRACION'!J91</f>
        <v>7</v>
      </c>
      <c r="I185" s="19">
        <f ca="1">'1ER PERIODOADMINISTRACION'!K91</f>
        <v>10</v>
      </c>
      <c r="J185" s="19">
        <f ca="1">'1ER PERIODOADMINISTRACION'!L91</f>
        <v>14</v>
      </c>
      <c r="K185" s="19">
        <f ca="1">'1ER PERIODOADMINISTRACION'!M91</f>
        <v>25</v>
      </c>
      <c r="L185" s="19">
        <f ca="1">'1ER PERIODOADMINISTRACION'!N91</f>
        <v>24</v>
      </c>
      <c r="M185" s="19">
        <f ca="1">'1ER PERIODOADMINISTRACION'!O91</f>
        <v>22</v>
      </c>
      <c r="N185" s="19">
        <f ca="1">'1ER PERIODOADMINISTRACION'!P91</f>
        <v>25</v>
      </c>
      <c r="O185" s="19">
        <f ca="1">'1ER PERIODOADMINISTRACION'!Q91</f>
        <v>30</v>
      </c>
      <c r="P185" s="19">
        <f ca="1">'1ER PERIODOADMINISTRACION'!R91</f>
        <v>35</v>
      </c>
      <c r="Q185" s="21">
        <f ca="1">'1ER PERIODOADMINISTRACION'!S91</f>
        <v>291</v>
      </c>
    </row>
    <row r="186" spans="1:17" ht="39.75" customHeight="1" thickTop="1" thickBot="1">
      <c r="A186" s="53"/>
      <c r="B186" s="53"/>
      <c r="C186" s="7" t="s">
        <v>224</v>
      </c>
      <c r="D186" s="18">
        <f ca="1">'1ER PERIODOADMINISTRACION'!F92</f>
        <v>107.692307692307</v>
      </c>
      <c r="E186" s="19">
        <f ca="1">'1ER PERIODOADMINISTRACION'!G92</f>
        <v>0</v>
      </c>
      <c r="F186" s="19">
        <f ca="1">'1ER PERIODOADMINISTRACION'!H92</f>
        <v>0</v>
      </c>
      <c r="G186" s="19">
        <f ca="1">'1ER PERIODOADMINISTRACION'!I92</f>
        <v>0</v>
      </c>
      <c r="H186" s="19">
        <f ca="1">'1ER PERIODOADMINISTRACION'!J92</f>
        <v>2</v>
      </c>
      <c r="I186" s="19">
        <f ca="1">'1ER PERIODOADMINISTRACION'!K92</f>
        <v>1</v>
      </c>
      <c r="J186" s="19">
        <f ca="1">'1ER PERIODOADMINISTRACION'!L92</f>
        <v>1</v>
      </c>
      <c r="K186" s="19">
        <f ca="1">'1ER PERIODOADMINISTRACION'!M92</f>
        <v>1</v>
      </c>
      <c r="L186" s="19">
        <f ca="1">'1ER PERIODOADMINISTRACION'!N92</f>
        <v>2</v>
      </c>
      <c r="M186" s="19">
        <f ca="1">'1ER PERIODOADMINISTRACION'!O92</f>
        <v>1</v>
      </c>
      <c r="N186" s="19">
        <f ca="1">'1ER PERIODOADMINISTRACION'!P92</f>
        <v>2</v>
      </c>
      <c r="O186" s="19">
        <f ca="1">'1ER PERIODOADMINISTRACION'!Q92</f>
        <v>2</v>
      </c>
      <c r="P186" s="19">
        <f ca="1">'1ER PERIODOADMINISTRACION'!R92</f>
        <v>2</v>
      </c>
      <c r="Q186" s="21">
        <f ca="1">'1ER PERIODOADMINISTRACION'!S92</f>
        <v>14</v>
      </c>
    </row>
    <row r="187" spans="1:17" ht="39.75" customHeight="1" thickTop="1" thickBot="1">
      <c r="A187" s="53"/>
      <c r="B187" s="53"/>
      <c r="C187" s="7" t="s">
        <v>225</v>
      </c>
      <c r="D187" s="18">
        <f ca="1">'1ER PERIODOADMINISTRACION'!F93</f>
        <v>231.57894736842101</v>
      </c>
      <c r="E187" s="19">
        <f ca="1">'1ER PERIODOADMINISTRACION'!G93</f>
        <v>80</v>
      </c>
      <c r="F187" s="19">
        <f ca="1">'1ER PERIODOADMINISTRACION'!H93</f>
        <v>75</v>
      </c>
      <c r="G187" s="19">
        <f ca="1">'1ER PERIODOADMINISTRACION'!I93</f>
        <v>85</v>
      </c>
      <c r="H187" s="19">
        <f ca="1">'1ER PERIODOADMINISTRACION'!J93</f>
        <v>7</v>
      </c>
      <c r="I187" s="19">
        <f ca="1">'1ER PERIODOADMINISTRACION'!K93</f>
        <v>10</v>
      </c>
      <c r="J187" s="19">
        <f ca="1">'1ER PERIODOADMINISTRACION'!L93</f>
        <v>9</v>
      </c>
      <c r="K187" s="19">
        <f ca="1">'1ER PERIODOADMINISTRACION'!M93</f>
        <v>40</v>
      </c>
      <c r="L187" s="19">
        <f ca="1">'1ER PERIODOADMINISTRACION'!N93</f>
        <v>44</v>
      </c>
      <c r="M187" s="19">
        <f ca="1">'1ER PERIODOADMINISTRACION'!O93</f>
        <v>48</v>
      </c>
      <c r="N187" s="19">
        <f ca="1">'1ER PERIODOADMINISTRACION'!P93</f>
        <v>40</v>
      </c>
      <c r="O187" s="19">
        <f ca="1">'1ER PERIODOADMINISTRACION'!Q93</f>
        <v>45</v>
      </c>
      <c r="P187" s="19">
        <f ca="1">'1ER PERIODOADMINISTRACION'!R93</f>
        <v>45</v>
      </c>
      <c r="Q187" s="21">
        <f ca="1">'1ER PERIODOADMINISTRACION'!S93</f>
        <v>528</v>
      </c>
    </row>
    <row r="188" spans="1:17" ht="39.75" customHeight="1" thickTop="1" thickBot="1">
      <c r="A188" s="51"/>
      <c r="B188" s="51"/>
      <c r="C188" s="7" t="s">
        <v>226</v>
      </c>
      <c r="D188" s="18">
        <f ca="1">'1ER PERIODOADMINISTRACION'!F94</f>
        <v>183.333333333333</v>
      </c>
      <c r="E188" s="19">
        <f ca="1">'1ER PERIODOADMINISTRACION'!G94</f>
        <v>80</v>
      </c>
      <c r="F188" s="19">
        <f ca="1">'1ER PERIODOADMINISTRACION'!H94</f>
        <v>120</v>
      </c>
      <c r="G188" s="19">
        <f ca="1">'1ER PERIODOADMINISTRACION'!I94</f>
        <v>220</v>
      </c>
      <c r="H188" s="19">
        <f ca="1">'1ER PERIODOADMINISTRACION'!J94</f>
        <v>30</v>
      </c>
      <c r="I188" s="19">
        <f ca="1">'1ER PERIODOADMINISTRACION'!K94</f>
        <v>30</v>
      </c>
      <c r="J188" s="19">
        <f ca="1">'1ER PERIODOADMINISTRACION'!L94</f>
        <v>25</v>
      </c>
      <c r="K188" s="19">
        <f ca="1">'1ER PERIODOADMINISTRACION'!M94</f>
        <v>31</v>
      </c>
      <c r="L188" s="19">
        <f ca="1">'1ER PERIODOADMINISTRACION'!N94</f>
        <v>22</v>
      </c>
      <c r="M188" s="19">
        <f ca="1">'1ER PERIODOADMINISTRACION'!O94</f>
        <v>12</v>
      </c>
      <c r="N188" s="19">
        <f ca="1">'1ER PERIODOADMINISTRACION'!P94</f>
        <v>8</v>
      </c>
      <c r="O188" s="19">
        <f ca="1">'1ER PERIODOADMINISTRACION'!Q94</f>
        <v>8</v>
      </c>
      <c r="P188" s="19">
        <f ca="1">'1ER PERIODOADMINISTRACION'!R94</f>
        <v>8</v>
      </c>
      <c r="Q188" s="21">
        <f ca="1">'1ER PERIODOADMINISTRACION'!S94</f>
        <v>594</v>
      </c>
    </row>
    <row r="189" spans="1:17" ht="39.75" customHeight="1" thickTop="1" thickBot="1">
      <c r="A189" s="52" t="s">
        <v>227</v>
      </c>
      <c r="B189" s="52" t="s">
        <v>227</v>
      </c>
      <c r="C189" s="12" t="s">
        <v>228</v>
      </c>
      <c r="D189" s="18">
        <f ca="1">'1ER PERIODO DESARROLLO ECONOMIC'!F2</f>
        <v>2237.5</v>
      </c>
      <c r="E189" s="17">
        <f ca="1">'1ER PERIODO DESARROLLO ECONOMIC'!G2</f>
        <v>0</v>
      </c>
      <c r="F189" s="17">
        <f ca="1">'1ER PERIODO DESARROLLO ECONOMIC'!H2</f>
        <v>2</v>
      </c>
      <c r="G189" s="17">
        <f ca="1">'1ER PERIODO DESARROLLO ECONOMIC'!I2</f>
        <v>1</v>
      </c>
      <c r="H189" s="17">
        <f ca="1">'1ER PERIODO DESARROLLO ECONOMIC'!J2</f>
        <v>68</v>
      </c>
      <c r="I189" s="17">
        <f ca="1">'1ER PERIODO DESARROLLO ECONOMIC'!K2</f>
        <v>70</v>
      </c>
      <c r="J189" s="17">
        <f ca="1">'1ER PERIODO DESARROLLO ECONOMIC'!L2</f>
        <v>33</v>
      </c>
      <c r="K189" s="17">
        <f ca="1">'1ER PERIODO DESARROLLO ECONOMIC'!M2</f>
        <v>0</v>
      </c>
      <c r="L189" s="17">
        <f ca="1">'1ER PERIODO DESARROLLO ECONOMIC'!N2</f>
        <v>2</v>
      </c>
      <c r="M189" s="17">
        <f ca="1">'1ER PERIODO DESARROLLO ECONOMIC'!O2</f>
        <v>1</v>
      </c>
      <c r="N189" s="17">
        <f ca="1">'1ER PERIODO DESARROLLO ECONOMIC'!P2</f>
        <v>0</v>
      </c>
      <c r="O189" s="17">
        <f ca="1">'1ER PERIODO DESARROLLO ECONOMIC'!Q2</f>
        <v>2</v>
      </c>
      <c r="P189" s="17">
        <f ca="1">'1ER PERIODO DESARROLLO ECONOMIC'!R2</f>
        <v>0</v>
      </c>
      <c r="Q189" s="24">
        <f ca="1">'1ER PERIODO DESARROLLO ECONOMIC'!S2</f>
        <v>179</v>
      </c>
    </row>
    <row r="190" spans="1:17" ht="39.75" customHeight="1" thickTop="1" thickBot="1">
      <c r="A190" s="53"/>
      <c r="B190" s="53"/>
      <c r="C190" s="12" t="s">
        <v>230</v>
      </c>
      <c r="D190" s="18">
        <f ca="1">'1ER PERIODO DESARROLLO ECONOMIC'!F3</f>
        <v>93.8951310861423</v>
      </c>
      <c r="E190" s="17">
        <f ca="1">'1ER PERIODO DESARROLLO ECONOMIC'!G3</f>
        <v>0</v>
      </c>
      <c r="F190" s="17">
        <f ca="1">'1ER PERIODO DESARROLLO ECONOMIC'!H3</f>
        <v>1000</v>
      </c>
      <c r="G190" s="17">
        <f ca="1">'1ER PERIODO DESARROLLO ECONOMIC'!I3</f>
        <v>3000</v>
      </c>
      <c r="H190" s="17">
        <f ca="1">'1ER PERIODO DESARROLLO ECONOMIC'!J3</f>
        <v>0</v>
      </c>
      <c r="I190" s="17">
        <f ca="1">'1ER PERIODO DESARROLLO ECONOMIC'!K3</f>
        <v>0</v>
      </c>
      <c r="J190" s="17">
        <f ca="1">'1ER PERIODO DESARROLLO ECONOMIC'!L3</f>
        <v>0</v>
      </c>
      <c r="K190" s="17">
        <f ca="1">'1ER PERIODO DESARROLLO ECONOMIC'!M3</f>
        <v>0</v>
      </c>
      <c r="L190" s="17">
        <f ca="1">'1ER PERIODO DESARROLLO ECONOMIC'!N3</f>
        <v>3500</v>
      </c>
      <c r="M190" s="17">
        <f ca="1">'1ER PERIODO DESARROLLO ECONOMIC'!O3</f>
        <v>21</v>
      </c>
      <c r="N190" s="17">
        <f ca="1">'1ER PERIODO DESARROLLO ECONOMIC'!P3</f>
        <v>0</v>
      </c>
      <c r="O190" s="17">
        <f ca="1">'1ER PERIODO DESARROLLO ECONOMIC'!Q3</f>
        <v>0</v>
      </c>
      <c r="P190" s="17">
        <f ca="1">'1ER PERIODO DESARROLLO ECONOMIC'!R3</f>
        <v>0</v>
      </c>
      <c r="Q190" s="24">
        <f ca="1">'1ER PERIODO DESARROLLO ECONOMIC'!S3</f>
        <v>7521</v>
      </c>
    </row>
    <row r="191" spans="1:17" ht="39.75" customHeight="1" thickTop="1" thickBot="1">
      <c r="A191" s="53"/>
      <c r="B191" s="53"/>
      <c r="C191" s="12" t="s">
        <v>232</v>
      </c>
      <c r="D191" s="18">
        <f ca="1">'1ER PERIODO DESARROLLO ECONOMIC'!F4</f>
        <v>87</v>
      </c>
      <c r="E191" s="17">
        <f ca="1">'1ER PERIODO DESARROLLO ECONOMIC'!G4</f>
        <v>0</v>
      </c>
      <c r="F191" s="17">
        <f ca="1">'1ER PERIODO DESARROLLO ECONOMIC'!H4</f>
        <v>35</v>
      </c>
      <c r="G191" s="17">
        <f ca="1">'1ER PERIODO DESARROLLO ECONOMIC'!I4</f>
        <v>0</v>
      </c>
      <c r="H191" s="17">
        <f ca="1">'1ER PERIODO DESARROLLO ECONOMIC'!J4</f>
        <v>5</v>
      </c>
      <c r="I191" s="17">
        <f ca="1">'1ER PERIODO DESARROLLO ECONOMIC'!K4</f>
        <v>2</v>
      </c>
      <c r="J191" s="17">
        <f ca="1">'1ER PERIODO DESARROLLO ECONOMIC'!L4</f>
        <v>0</v>
      </c>
      <c r="K191" s="17">
        <f ca="1">'1ER PERIODO DESARROLLO ECONOMIC'!M4</f>
        <v>0</v>
      </c>
      <c r="L191" s="17">
        <f ca="1">'1ER PERIODO DESARROLLO ECONOMIC'!N4</f>
        <v>24</v>
      </c>
      <c r="M191" s="17">
        <f ca="1">'1ER PERIODO DESARROLLO ECONOMIC'!O4</f>
        <v>21</v>
      </c>
      <c r="N191" s="17">
        <f ca="1">'1ER PERIODO DESARROLLO ECONOMIC'!P4</f>
        <v>0</v>
      </c>
      <c r="O191" s="17">
        <f ca="1">'1ER PERIODO DESARROLLO ECONOMIC'!Q4</f>
        <v>0</v>
      </c>
      <c r="P191" s="17">
        <f ca="1">'1ER PERIODO DESARROLLO ECONOMIC'!R4</f>
        <v>0</v>
      </c>
      <c r="Q191" s="24">
        <f ca="1">'1ER PERIODO DESARROLLO ECONOMIC'!S4</f>
        <v>87</v>
      </c>
    </row>
    <row r="192" spans="1:17" ht="39.75" customHeight="1" thickTop="1" thickBot="1">
      <c r="A192" s="53"/>
      <c r="B192" s="53"/>
      <c r="C192" s="12" t="s">
        <v>234</v>
      </c>
      <c r="D192" s="18">
        <f ca="1">'1ER PERIODO DESARROLLO ECONOMIC'!F5</f>
        <v>196.77419354838699</v>
      </c>
      <c r="E192" s="17">
        <f ca="1">'1ER PERIODO DESARROLLO ECONOMIC'!G5</f>
        <v>0</v>
      </c>
      <c r="F192" s="17">
        <f ca="1">'1ER PERIODO DESARROLLO ECONOMIC'!H5</f>
        <v>0</v>
      </c>
      <c r="G192" s="17">
        <f ca="1">'1ER PERIODO DESARROLLO ECONOMIC'!I5</f>
        <v>0</v>
      </c>
      <c r="H192" s="17">
        <f ca="1">'1ER PERIODO DESARROLLO ECONOMIC'!J5</f>
        <v>21</v>
      </c>
      <c r="I192" s="17">
        <f ca="1">'1ER PERIODO DESARROLLO ECONOMIC'!K5</f>
        <v>24</v>
      </c>
      <c r="J192" s="17">
        <f ca="1">'1ER PERIODO DESARROLLO ECONOMIC'!L5</f>
        <v>8</v>
      </c>
      <c r="K192" s="17">
        <f ca="1">'1ER PERIODO DESARROLLO ECONOMIC'!M5</f>
        <v>0</v>
      </c>
      <c r="L192" s="17">
        <f ca="1">'1ER PERIODO DESARROLLO ECONOMIC'!N5</f>
        <v>2</v>
      </c>
      <c r="M192" s="17">
        <f ca="1">'1ER PERIODO DESARROLLO ECONOMIC'!O5</f>
        <v>1</v>
      </c>
      <c r="N192" s="17">
        <f ca="1">'1ER PERIODO DESARROLLO ECONOMIC'!P5</f>
        <v>94</v>
      </c>
      <c r="O192" s="17">
        <f ca="1">'1ER PERIODO DESARROLLO ECONOMIC'!Q5</f>
        <v>75</v>
      </c>
      <c r="P192" s="17">
        <f ca="1">'1ER PERIODO DESARROLLO ECONOMIC'!R5</f>
        <v>80</v>
      </c>
      <c r="Q192" s="24">
        <f ca="1">'1ER PERIODO DESARROLLO ECONOMIC'!S5</f>
        <v>305</v>
      </c>
    </row>
    <row r="193" spans="1:17" ht="39.75" customHeight="1" thickTop="1" thickBot="1">
      <c r="A193" s="53"/>
      <c r="B193" s="53"/>
      <c r="C193" s="12" t="s">
        <v>236</v>
      </c>
      <c r="D193" s="18">
        <f ca="1">'1ER PERIODO DESARROLLO ECONOMIC'!F6</f>
        <v>125.625</v>
      </c>
      <c r="E193" s="17">
        <f ca="1">'1ER PERIODO DESARROLLO ECONOMIC'!G6</f>
        <v>0</v>
      </c>
      <c r="F193" s="17">
        <f ca="1">'1ER PERIODO DESARROLLO ECONOMIC'!H6</f>
        <v>2</v>
      </c>
      <c r="G193" s="17">
        <f ca="1">'1ER PERIODO DESARROLLO ECONOMIC'!I6</f>
        <v>3</v>
      </c>
      <c r="H193" s="17">
        <f ca="1">'1ER PERIODO DESARROLLO ECONOMIC'!J6</f>
        <v>0</v>
      </c>
      <c r="I193" s="17">
        <f ca="1">'1ER PERIODO DESARROLLO ECONOMIC'!K6</f>
        <v>65</v>
      </c>
      <c r="J193" s="17">
        <f ca="1">'1ER PERIODO DESARROLLO ECONOMIC'!L6</f>
        <v>54</v>
      </c>
      <c r="K193" s="17">
        <f ca="1">'1ER PERIODO DESARROLLO ECONOMIC'!M6</f>
        <v>0</v>
      </c>
      <c r="L193" s="17">
        <f ca="1">'1ER PERIODO DESARROLLO ECONOMIC'!N6</f>
        <v>300</v>
      </c>
      <c r="M193" s="17">
        <f ca="1">'1ER PERIODO DESARROLLO ECONOMIC'!O6</f>
        <v>74</v>
      </c>
      <c r="N193" s="17">
        <f ca="1">'1ER PERIODO DESARROLLO ECONOMIC'!P6</f>
        <v>0</v>
      </c>
      <c r="O193" s="17">
        <f ca="1">'1ER PERIODO DESARROLLO ECONOMIC'!Q6</f>
        <v>105</v>
      </c>
      <c r="P193" s="17">
        <f ca="1">'1ER PERIODO DESARROLLO ECONOMIC'!R6</f>
        <v>0</v>
      </c>
      <c r="Q193" s="24">
        <f ca="1">'1ER PERIODO DESARROLLO ECONOMIC'!S6</f>
        <v>603</v>
      </c>
    </row>
    <row r="194" spans="1:17" ht="39.75" customHeight="1" thickTop="1" thickBot="1">
      <c r="A194" s="53"/>
      <c r="B194" s="53"/>
      <c r="C194" s="12" t="s">
        <v>237</v>
      </c>
      <c r="D194" s="18">
        <f ca="1">'1ER PERIODO DESARROLLO ECONOMIC'!F7</f>
        <v>100</v>
      </c>
      <c r="E194" s="17">
        <f ca="1">'1ER PERIODO DESARROLLO ECONOMIC'!G7</f>
        <v>85</v>
      </c>
      <c r="F194" s="17">
        <f ca="1">'1ER PERIODO DESARROLLO ECONOMIC'!H7</f>
        <v>92</v>
      </c>
      <c r="G194" s="17">
        <f ca="1">'1ER PERIODO DESARROLLO ECONOMIC'!I7</f>
        <v>95</v>
      </c>
      <c r="H194" s="17">
        <f ca="1">'1ER PERIODO DESARROLLO ECONOMIC'!J7</f>
        <v>1</v>
      </c>
      <c r="I194" s="17">
        <f ca="1">'1ER PERIODO DESARROLLO ECONOMIC'!K7</f>
        <v>1</v>
      </c>
      <c r="J194" s="17">
        <f ca="1">'1ER PERIODO DESARROLLO ECONOMIC'!L7</f>
        <v>6</v>
      </c>
      <c r="K194" s="17">
        <f ca="1">'1ER PERIODO DESARROLLO ECONOMIC'!M7</f>
        <v>0</v>
      </c>
      <c r="L194" s="17">
        <f ca="1">'1ER PERIODO DESARROLLO ECONOMIC'!N7</f>
        <v>2</v>
      </c>
      <c r="M194" s="17">
        <f ca="1">'1ER PERIODO DESARROLLO ECONOMIC'!O7</f>
        <v>1</v>
      </c>
      <c r="N194" s="17">
        <f ca="1">'1ER PERIODO DESARROLLO ECONOMIC'!P7</f>
        <v>0</v>
      </c>
      <c r="O194" s="17">
        <f ca="1">'1ER PERIODO DESARROLLO ECONOMIC'!Q7</f>
        <v>3</v>
      </c>
      <c r="P194" s="17">
        <f ca="1">'1ER PERIODO DESARROLLO ECONOMIC'!R7</f>
        <v>4</v>
      </c>
      <c r="Q194" s="24">
        <f ca="1">'1ER PERIODO DESARROLLO ECONOMIC'!S7</f>
        <v>290</v>
      </c>
    </row>
    <row r="195" spans="1:17" ht="39.75" customHeight="1" thickTop="1" thickBot="1">
      <c r="A195" s="53"/>
      <c r="B195" s="53"/>
      <c r="C195" s="12" t="s">
        <v>239</v>
      </c>
      <c r="D195" s="18">
        <f ca="1">'1ER PERIODO DESARROLLO ECONOMIC'!F8</f>
        <v>198.35820895522301</v>
      </c>
      <c r="E195" s="17">
        <f ca="1">'1ER PERIODO DESARROLLO ECONOMIC'!G8</f>
        <v>91</v>
      </c>
      <c r="F195" s="17">
        <f ca="1">'1ER PERIODO DESARROLLO ECONOMIC'!H8</f>
        <v>76</v>
      </c>
      <c r="G195" s="17">
        <f ca="1">'1ER PERIODO DESARROLLO ECONOMIC'!I8</f>
        <v>52</v>
      </c>
      <c r="H195" s="17">
        <f ca="1">'1ER PERIODO DESARROLLO ECONOMIC'!J8</f>
        <v>2</v>
      </c>
      <c r="I195" s="17">
        <f ca="1">'1ER PERIODO DESARROLLO ECONOMIC'!K8</f>
        <v>493</v>
      </c>
      <c r="J195" s="17">
        <f ca="1">'1ER PERIODO DESARROLLO ECONOMIC'!L8</f>
        <v>146</v>
      </c>
      <c r="K195" s="17">
        <f ca="1">'1ER PERIODO DESARROLLO ECONOMIC'!M8</f>
        <v>0</v>
      </c>
      <c r="L195" s="17">
        <f ca="1">'1ER PERIODO DESARROLLO ECONOMIC'!N8</f>
        <v>110</v>
      </c>
      <c r="M195" s="17">
        <f ca="1">'1ER PERIODO DESARROLLO ECONOMIC'!O8</f>
        <v>364</v>
      </c>
      <c r="N195" s="17">
        <f ca="1">'1ER PERIODO DESARROLLO ECONOMIC'!P8</f>
        <v>454</v>
      </c>
      <c r="O195" s="17">
        <f ca="1">'1ER PERIODO DESARROLLO ECONOMIC'!Q8</f>
        <v>441</v>
      </c>
      <c r="P195" s="17">
        <f ca="1">'1ER PERIODO DESARROLLO ECONOMIC'!R8</f>
        <v>429</v>
      </c>
      <c r="Q195" s="24">
        <f ca="1">'1ER PERIODO DESARROLLO ECONOMIC'!S8</f>
        <v>2658</v>
      </c>
    </row>
    <row r="196" spans="1:17" ht="39.75" customHeight="1" thickTop="1" thickBot="1">
      <c r="A196" s="53"/>
      <c r="B196" s="51"/>
      <c r="C196" s="12" t="s">
        <v>241</v>
      </c>
      <c r="D196" s="18">
        <f ca="1">'1ER PERIODO DESARROLLO ECONOMIC'!F9</f>
        <v>89.266666666666595</v>
      </c>
      <c r="E196" s="17">
        <f ca="1">'1ER PERIODO DESARROLLO ECONOMIC'!G9</f>
        <v>0</v>
      </c>
      <c r="F196" s="17">
        <f ca="1">'1ER PERIODO DESARROLLO ECONOMIC'!H9</f>
        <v>34</v>
      </c>
      <c r="G196" s="17">
        <f ca="1">'1ER PERIODO DESARROLLO ECONOMIC'!I9</f>
        <v>21</v>
      </c>
      <c r="H196" s="17">
        <f ca="1">'1ER PERIODO DESARROLLO ECONOMIC'!J9</f>
        <v>5</v>
      </c>
      <c r="I196" s="17">
        <f ca="1">'1ER PERIODO DESARROLLO ECONOMIC'!K9</f>
        <v>95</v>
      </c>
      <c r="J196" s="17">
        <f ca="1">'1ER PERIODO DESARROLLO ECONOMIC'!L9</f>
        <v>0</v>
      </c>
      <c r="K196" s="17">
        <f ca="1">'1ER PERIODO DESARROLLO ECONOMIC'!M9</f>
        <v>0</v>
      </c>
      <c r="L196" s="17">
        <f ca="1">'1ER PERIODO DESARROLLO ECONOMIC'!N9</f>
        <v>934</v>
      </c>
      <c r="M196" s="17">
        <f ca="1">'1ER PERIODO DESARROLLO ECONOMIC'!O9</f>
        <v>1</v>
      </c>
      <c r="N196" s="17">
        <f ca="1">'1ER PERIODO DESARROLLO ECONOMIC'!P9</f>
        <v>94</v>
      </c>
      <c r="O196" s="17">
        <f ca="1">'1ER PERIODO DESARROLLO ECONOMIC'!Q9</f>
        <v>75</v>
      </c>
      <c r="P196" s="17">
        <f ca="1">'1ER PERIODO DESARROLLO ECONOMIC'!R9</f>
        <v>80</v>
      </c>
      <c r="Q196" s="24">
        <f ca="1">'1ER PERIODO DESARROLLO ECONOMIC'!S9</f>
        <v>1339</v>
      </c>
    </row>
    <row r="197" spans="1:17" ht="39.75" customHeight="1" thickTop="1" thickBot="1">
      <c r="A197" s="53"/>
      <c r="B197" s="13" t="s">
        <v>243</v>
      </c>
      <c r="C197" s="12" t="s">
        <v>244</v>
      </c>
      <c r="D197" s="18">
        <f ca="1">'1ER PERIODO DESARROLLO ECONOMIC'!F10</f>
        <v>1.8181818181818099</v>
      </c>
      <c r="E197" s="17">
        <f ca="1">'1ER PERIODO DESARROLLO ECONOMIC'!G10</f>
        <v>0</v>
      </c>
      <c r="F197" s="17">
        <f ca="1">'1ER PERIODO DESARROLLO ECONOMIC'!H10</f>
        <v>0</v>
      </c>
      <c r="G197" s="17">
        <f ca="1">'1ER PERIODO DESARROLLO ECONOMIC'!I10</f>
        <v>0</v>
      </c>
      <c r="H197" s="17">
        <f ca="1">'1ER PERIODO DESARROLLO ECONOMIC'!J10</f>
        <v>0</v>
      </c>
      <c r="I197" s="17">
        <f ca="1">'1ER PERIODO DESARROLLO ECONOMIC'!K10</f>
        <v>0</v>
      </c>
      <c r="J197" s="17">
        <f ca="1">'1ER PERIODO DESARROLLO ECONOMIC'!L10</f>
        <v>0</v>
      </c>
      <c r="K197" s="17">
        <f ca="1">'1ER PERIODO DESARROLLO ECONOMIC'!M10</f>
        <v>0</v>
      </c>
      <c r="L197" s="17">
        <f ca="1">'1ER PERIODO DESARROLLO ECONOMIC'!N10</f>
        <v>1</v>
      </c>
      <c r="M197" s="17">
        <f ca="1">'1ER PERIODO DESARROLLO ECONOMIC'!O10</f>
        <v>0</v>
      </c>
      <c r="N197" s="17">
        <f ca="1">'1ER PERIODO DESARROLLO ECONOMIC'!P10</f>
        <v>0</v>
      </c>
      <c r="O197" s="17">
        <f ca="1">'1ER PERIODO DESARROLLO ECONOMIC'!Q10</f>
        <v>0</v>
      </c>
      <c r="P197" s="17">
        <f ca="1">'1ER PERIODO DESARROLLO ECONOMIC'!R10</f>
        <v>0</v>
      </c>
      <c r="Q197" s="24">
        <f ca="1">'1ER PERIODO DESARROLLO ECONOMIC'!S10</f>
        <v>1</v>
      </c>
    </row>
    <row r="198" spans="1:17" ht="39.75" customHeight="1" thickTop="1" thickBot="1">
      <c r="A198" s="53"/>
      <c r="B198" s="52" t="s">
        <v>246</v>
      </c>
      <c r="C198" s="12" t="s">
        <v>247</v>
      </c>
      <c r="D198" s="18">
        <f ca="1">'1ER PERIODO DESARROLLO ECONOMIC'!F11</f>
        <v>60</v>
      </c>
      <c r="E198" s="17">
        <f ca="1">'1ER PERIODO DESARROLLO ECONOMIC'!G11</f>
        <v>0</v>
      </c>
      <c r="F198" s="17">
        <f ca="1">'1ER PERIODO DESARROLLO ECONOMIC'!H11</f>
        <v>0</v>
      </c>
      <c r="G198" s="17">
        <f ca="1">'1ER PERIODO DESARROLLO ECONOMIC'!I11</f>
        <v>0</v>
      </c>
      <c r="H198" s="17">
        <f ca="1">'1ER PERIODO DESARROLLO ECONOMIC'!J11</f>
        <v>1</v>
      </c>
      <c r="I198" s="17">
        <f ca="1">'1ER PERIODO DESARROLLO ECONOMIC'!K11</f>
        <v>0</v>
      </c>
      <c r="J198" s="17">
        <f ca="1">'1ER PERIODO DESARROLLO ECONOMIC'!L11</f>
        <v>0</v>
      </c>
      <c r="K198" s="17">
        <f ca="1">'1ER PERIODO DESARROLLO ECONOMIC'!M11</f>
        <v>0</v>
      </c>
      <c r="L198" s="17">
        <f ca="1">'1ER PERIODO DESARROLLO ECONOMIC'!N11</f>
        <v>0</v>
      </c>
      <c r="M198" s="17">
        <f ca="1">'1ER PERIODO DESARROLLO ECONOMIC'!O11</f>
        <v>0</v>
      </c>
      <c r="N198" s="17">
        <f ca="1">'1ER PERIODO DESARROLLO ECONOMIC'!P11</f>
        <v>1</v>
      </c>
      <c r="O198" s="17">
        <f ca="1">'1ER PERIODO DESARROLLO ECONOMIC'!Q11</f>
        <v>0</v>
      </c>
      <c r="P198" s="17">
        <f ca="1">'1ER PERIODO DESARROLLO ECONOMIC'!R11</f>
        <v>1</v>
      </c>
      <c r="Q198" s="24">
        <f ca="1">'1ER PERIODO DESARROLLO ECONOMIC'!S11</f>
        <v>3</v>
      </c>
    </row>
    <row r="199" spans="1:17" ht="39.75" customHeight="1" thickTop="1" thickBot="1">
      <c r="A199" s="53"/>
      <c r="B199" s="53"/>
      <c r="C199" s="12" t="s">
        <v>38</v>
      </c>
      <c r="D199" s="18">
        <f ca="1">'1ER PERIODO DESARROLLO ECONOMIC'!F12</f>
        <v>287.35632183908001</v>
      </c>
      <c r="E199" s="17">
        <f ca="1">'1ER PERIODO DESARROLLO ECONOMIC'!G12</f>
        <v>0</v>
      </c>
      <c r="F199" s="17">
        <f ca="1">'1ER PERIODO DESARROLLO ECONOMIC'!H12</f>
        <v>0</v>
      </c>
      <c r="G199" s="17">
        <f ca="1">'1ER PERIODO DESARROLLO ECONOMIC'!I12</f>
        <v>0</v>
      </c>
      <c r="H199" s="17">
        <f ca="1">'1ER PERIODO DESARROLLO ECONOMIC'!J12</f>
        <v>0</v>
      </c>
      <c r="I199" s="17">
        <f ca="1">'1ER PERIODO DESARROLLO ECONOMIC'!K12</f>
        <v>0</v>
      </c>
      <c r="J199" s="17">
        <f ca="1">'1ER PERIODO DESARROLLO ECONOMIC'!L12</f>
        <v>0</v>
      </c>
      <c r="K199" s="17">
        <f ca="1">'1ER PERIODO DESARROLLO ECONOMIC'!M12</f>
        <v>0</v>
      </c>
      <c r="L199" s="17">
        <f ca="1">'1ER PERIODO DESARROLLO ECONOMIC'!N12</f>
        <v>0</v>
      </c>
      <c r="M199" s="17">
        <f ca="1">'1ER PERIODO DESARROLLO ECONOMIC'!O12</f>
        <v>0</v>
      </c>
      <c r="N199" s="17">
        <f ca="1">'1ER PERIODO DESARROLLO ECONOMIC'!P12</f>
        <v>150</v>
      </c>
      <c r="O199" s="17">
        <f ca="1">'1ER PERIODO DESARROLLO ECONOMIC'!Q12</f>
        <v>0</v>
      </c>
      <c r="P199" s="17">
        <f ca="1">'1ER PERIODO DESARROLLO ECONOMIC'!R12</f>
        <v>350</v>
      </c>
      <c r="Q199" s="24">
        <f ca="1">'1ER PERIODO DESARROLLO ECONOMIC'!S12</f>
        <v>500</v>
      </c>
    </row>
    <row r="200" spans="1:17" ht="39.75" customHeight="1" thickTop="1" thickBot="1">
      <c r="A200" s="53"/>
      <c r="B200" s="53"/>
      <c r="C200" s="12" t="s">
        <v>248</v>
      </c>
      <c r="D200" s="18">
        <f ca="1">'1ER PERIODO DESARROLLO ECONOMIC'!F13</f>
        <v>113.333333333333</v>
      </c>
      <c r="E200" s="17">
        <f ca="1">'1ER PERIODO DESARROLLO ECONOMIC'!G13</f>
        <v>0</v>
      </c>
      <c r="F200" s="17">
        <f ca="1">'1ER PERIODO DESARROLLO ECONOMIC'!H13</f>
        <v>0</v>
      </c>
      <c r="G200" s="17">
        <f ca="1">'1ER PERIODO DESARROLLO ECONOMIC'!I13</f>
        <v>0</v>
      </c>
      <c r="H200" s="17">
        <f ca="1">'1ER PERIODO DESARROLLO ECONOMIC'!J13</f>
        <v>2</v>
      </c>
      <c r="I200" s="17">
        <f ca="1">'1ER PERIODO DESARROLLO ECONOMIC'!K13</f>
        <v>2</v>
      </c>
      <c r="J200" s="17">
        <f ca="1">'1ER PERIODO DESARROLLO ECONOMIC'!L13</f>
        <v>0</v>
      </c>
      <c r="K200" s="17">
        <f ca="1">'1ER PERIODO DESARROLLO ECONOMIC'!M13</f>
        <v>0</v>
      </c>
      <c r="L200" s="17">
        <f ca="1">'1ER PERIODO DESARROLLO ECONOMIC'!N13</f>
        <v>2</v>
      </c>
      <c r="M200" s="17">
        <f ca="1">'1ER PERIODO DESARROLLO ECONOMIC'!O13</f>
        <v>0</v>
      </c>
      <c r="N200" s="17">
        <f ca="1">'1ER PERIODO DESARROLLO ECONOMIC'!P13</f>
        <v>11</v>
      </c>
      <c r="O200" s="17">
        <f ca="1">'1ER PERIODO DESARROLLO ECONOMIC'!Q13</f>
        <v>0</v>
      </c>
      <c r="P200" s="17">
        <f ca="1">'1ER PERIODO DESARROLLO ECONOMIC'!R13</f>
        <v>0</v>
      </c>
      <c r="Q200" s="24">
        <f ca="1">'1ER PERIODO DESARROLLO ECONOMIC'!S13</f>
        <v>17</v>
      </c>
    </row>
    <row r="201" spans="1:17" ht="39.75" customHeight="1" thickTop="1" thickBot="1">
      <c r="A201" s="53"/>
      <c r="B201" s="53"/>
      <c r="C201" s="12" t="s">
        <v>38</v>
      </c>
      <c r="D201" s="18">
        <f ca="1">'1ER PERIODO DESARROLLO ECONOMIC'!F14</f>
        <v>217.41935483870901</v>
      </c>
      <c r="E201" s="17">
        <f ca="1">'1ER PERIODO DESARROLLO ECONOMIC'!G14</f>
        <v>34</v>
      </c>
      <c r="F201" s="17">
        <f ca="1">'1ER PERIODO DESARROLLO ECONOMIC'!H14</f>
        <v>55</v>
      </c>
      <c r="G201" s="17">
        <f ca="1">'1ER PERIODO DESARROLLO ECONOMIC'!I14</f>
        <v>43</v>
      </c>
      <c r="H201" s="17">
        <f ca="1">'1ER PERIODO DESARROLLO ECONOMIC'!J14</f>
        <v>0</v>
      </c>
      <c r="I201" s="17">
        <f ca="1">'1ER PERIODO DESARROLLO ECONOMIC'!K14</f>
        <v>0</v>
      </c>
      <c r="J201" s="17">
        <f ca="1">'1ER PERIODO DESARROLLO ECONOMIC'!L14</f>
        <v>0</v>
      </c>
      <c r="K201" s="17">
        <f ca="1">'1ER PERIODO DESARROLLO ECONOMIC'!M14</f>
        <v>0</v>
      </c>
      <c r="L201" s="17">
        <f ca="1">'1ER PERIODO DESARROLLO ECONOMIC'!N14</f>
        <v>226</v>
      </c>
      <c r="M201" s="17">
        <f ca="1">'1ER PERIODO DESARROLLO ECONOMIC'!O14</f>
        <v>0</v>
      </c>
      <c r="N201" s="17">
        <f ca="1">'1ER PERIODO DESARROLLO ECONOMIC'!P14</f>
        <v>250</v>
      </c>
      <c r="O201" s="17">
        <f ca="1">'1ER PERIODO DESARROLLO ECONOMIC'!Q14</f>
        <v>0</v>
      </c>
      <c r="P201" s="17">
        <f ca="1">'1ER PERIODO DESARROLLO ECONOMIC'!R14</f>
        <v>740</v>
      </c>
      <c r="Q201" s="24">
        <f ca="1">'1ER PERIODO DESARROLLO ECONOMIC'!S14</f>
        <v>1348</v>
      </c>
    </row>
    <row r="202" spans="1:17" ht="39.75" customHeight="1" thickTop="1" thickBot="1">
      <c r="A202" s="53"/>
      <c r="B202" s="53"/>
      <c r="C202" s="12" t="s">
        <v>249</v>
      </c>
      <c r="D202" s="18">
        <f ca="1">'1ER PERIODO DESARROLLO ECONOMIC'!F15</f>
        <v>186.046511627906</v>
      </c>
      <c r="E202" s="17">
        <f ca="1">'1ER PERIODO DESARROLLO ECONOMIC'!G15</f>
        <v>8</v>
      </c>
      <c r="F202" s="17">
        <f ca="1">'1ER PERIODO DESARROLLO ECONOMIC'!H15</f>
        <v>15</v>
      </c>
      <c r="G202" s="17">
        <f ca="1">'1ER PERIODO DESARROLLO ECONOMIC'!I15</f>
        <v>5</v>
      </c>
      <c r="H202" s="17">
        <f ca="1">'1ER PERIODO DESARROLLO ECONOMIC'!J15</f>
        <v>10</v>
      </c>
      <c r="I202" s="17">
        <f ca="1">'1ER PERIODO DESARROLLO ECONOMIC'!K15</f>
        <v>6</v>
      </c>
      <c r="J202" s="17">
        <f ca="1">'1ER PERIODO DESARROLLO ECONOMIC'!L15</f>
        <v>0</v>
      </c>
      <c r="K202" s="17">
        <f ca="1">'1ER PERIODO DESARROLLO ECONOMIC'!M15</f>
        <v>0</v>
      </c>
      <c r="L202" s="17">
        <f ca="1">'1ER PERIODO DESARROLLO ECONOMIC'!N15</f>
        <v>6</v>
      </c>
      <c r="M202" s="17">
        <f ca="1">'1ER PERIODO DESARROLLO ECONOMIC'!O15</f>
        <v>2</v>
      </c>
      <c r="N202" s="17">
        <f ca="1">'1ER PERIODO DESARROLLO ECONOMIC'!P15</f>
        <v>1</v>
      </c>
      <c r="O202" s="17">
        <f ca="1">'1ER PERIODO DESARROLLO ECONOMIC'!Q15</f>
        <v>11</v>
      </c>
      <c r="P202" s="17">
        <f ca="1">'1ER PERIODO DESARROLLO ECONOMIC'!R15</f>
        <v>16</v>
      </c>
      <c r="Q202" s="24">
        <f ca="1">'1ER PERIODO DESARROLLO ECONOMIC'!S15</f>
        <v>80</v>
      </c>
    </row>
    <row r="203" spans="1:17" ht="39.75" customHeight="1" thickTop="1" thickBot="1">
      <c r="A203" s="53"/>
      <c r="B203" s="53"/>
      <c r="C203" s="12" t="s">
        <v>38</v>
      </c>
      <c r="D203" s="18">
        <f ca="1">'1ER PERIODO DESARROLLO ECONOMIC'!F16</f>
        <v>130.263157894736</v>
      </c>
      <c r="E203" s="17">
        <f ca="1">'1ER PERIODO DESARROLLO ECONOMIC'!G16</f>
        <v>0</v>
      </c>
      <c r="F203" s="17">
        <f ca="1">'1ER PERIODO DESARROLLO ECONOMIC'!H16</f>
        <v>0</v>
      </c>
      <c r="G203" s="17">
        <f ca="1">'1ER PERIODO DESARROLLO ECONOMIC'!I16</f>
        <v>0</v>
      </c>
      <c r="H203" s="17">
        <f ca="1">'1ER PERIODO DESARROLLO ECONOMIC'!J16</f>
        <v>210</v>
      </c>
      <c r="I203" s="17">
        <f ca="1">'1ER PERIODO DESARROLLO ECONOMIC'!K16</f>
        <v>0</v>
      </c>
      <c r="J203" s="17">
        <f ca="1">'1ER PERIODO DESARROLLO ECONOMIC'!L16</f>
        <v>0</v>
      </c>
      <c r="K203" s="17">
        <f ca="1">'1ER PERIODO DESARROLLO ECONOMIC'!M16</f>
        <v>0</v>
      </c>
      <c r="L203" s="17">
        <f ca="1">'1ER PERIODO DESARROLLO ECONOMIC'!N16</f>
        <v>1334</v>
      </c>
      <c r="M203" s="17">
        <f ca="1">'1ER PERIODO DESARROLLO ECONOMIC'!O16</f>
        <v>450</v>
      </c>
      <c r="N203" s="17">
        <f ca="1">'1ER PERIODO DESARROLLO ECONOMIC'!P16</f>
        <v>2</v>
      </c>
      <c r="O203" s="17">
        <f ca="1">'1ER PERIODO DESARROLLO ECONOMIC'!Q16</f>
        <v>179</v>
      </c>
      <c r="P203" s="17">
        <f ca="1">'1ER PERIODO DESARROLLO ECONOMIC'!R16</f>
        <v>300</v>
      </c>
      <c r="Q203" s="24">
        <f ca="1">'1ER PERIODO DESARROLLO ECONOMIC'!S16</f>
        <v>2475</v>
      </c>
    </row>
    <row r="204" spans="1:17" ht="39.75" customHeight="1" thickTop="1" thickBot="1">
      <c r="A204" s="53"/>
      <c r="B204" s="53"/>
      <c r="C204" s="12" t="s">
        <v>251</v>
      </c>
      <c r="D204" s="18">
        <f ca="1">'1ER PERIODO DESARROLLO ECONOMIC'!F17</f>
        <v>94.8888888888888</v>
      </c>
      <c r="E204" s="17">
        <f ca="1">'1ER PERIODO DESARROLLO ECONOMIC'!G17</f>
        <v>0</v>
      </c>
      <c r="F204" s="17">
        <f ca="1">'1ER PERIODO DESARROLLO ECONOMIC'!H17</f>
        <v>5</v>
      </c>
      <c r="G204" s="17">
        <f ca="1">'1ER PERIODO DESARROLLO ECONOMIC'!I17</f>
        <v>2</v>
      </c>
      <c r="H204" s="17">
        <f ca="1">'1ER PERIODO DESARROLLO ECONOMIC'!J17</f>
        <v>81</v>
      </c>
      <c r="I204" s="17">
        <f ca="1">'1ER PERIODO DESARROLLO ECONOMIC'!K17</f>
        <v>7</v>
      </c>
      <c r="J204" s="17">
        <f ca="1">'1ER PERIODO DESARROLLO ECONOMIC'!L17</f>
        <v>0</v>
      </c>
      <c r="K204" s="17">
        <f ca="1">'1ER PERIODO DESARROLLO ECONOMIC'!M17</f>
        <v>0</v>
      </c>
      <c r="L204" s="17">
        <f ca="1">'1ER PERIODO DESARROLLO ECONOMIC'!N17</f>
        <v>70</v>
      </c>
      <c r="M204" s="17">
        <f ca="1">'1ER PERIODO DESARROLLO ECONOMIC'!O17</f>
        <v>194</v>
      </c>
      <c r="N204" s="17">
        <f ca="1">'1ER PERIODO DESARROLLO ECONOMIC'!P17</f>
        <v>28</v>
      </c>
      <c r="O204" s="17">
        <f ca="1">'1ER PERIODO DESARROLLO ECONOMIC'!Q17</f>
        <v>24</v>
      </c>
      <c r="P204" s="17">
        <f ca="1">'1ER PERIODO DESARROLLO ECONOMIC'!R17</f>
        <v>16</v>
      </c>
      <c r="Q204" s="24">
        <f ca="1">'1ER PERIODO DESARROLLO ECONOMIC'!S17</f>
        <v>427</v>
      </c>
    </row>
    <row r="205" spans="1:17" ht="39.75" customHeight="1" thickTop="1" thickBot="1">
      <c r="A205" s="51"/>
      <c r="B205" s="51"/>
      <c r="C205" s="12" t="s">
        <v>253</v>
      </c>
      <c r="D205" s="18">
        <f ca="1">'1ER PERIODO DESARROLLO ECONOMIC'!F18</f>
        <v>138.90909090909</v>
      </c>
      <c r="E205" s="17">
        <f ca="1">'1ER PERIODO DESARROLLO ECONOMIC'!G18</f>
        <v>1</v>
      </c>
      <c r="F205" s="17">
        <f ca="1">'1ER PERIODO DESARROLLO ECONOMIC'!H18</f>
        <v>10</v>
      </c>
      <c r="G205" s="17">
        <f ca="1">'1ER PERIODO DESARROLLO ECONOMIC'!I18</f>
        <v>11</v>
      </c>
      <c r="H205" s="17">
        <f ca="1">'1ER PERIODO DESARROLLO ECONOMIC'!J18</f>
        <v>104</v>
      </c>
      <c r="I205" s="17">
        <f ca="1">'1ER PERIODO DESARROLLO ECONOMIC'!K18</f>
        <v>3</v>
      </c>
      <c r="J205" s="17">
        <f ca="1">'1ER PERIODO DESARROLLO ECONOMIC'!L18</f>
        <v>0</v>
      </c>
      <c r="K205" s="17">
        <f ca="1">'1ER PERIODO DESARROLLO ECONOMIC'!M18</f>
        <v>0</v>
      </c>
      <c r="L205" s="17">
        <f ca="1">'1ER PERIODO DESARROLLO ECONOMIC'!N18</f>
        <v>106</v>
      </c>
      <c r="M205" s="17">
        <f ca="1">'1ER PERIODO DESARROLLO ECONOMIC'!O18</f>
        <v>194</v>
      </c>
      <c r="N205" s="17">
        <f ca="1">'1ER PERIODO DESARROLLO ECONOMIC'!P18</f>
        <v>171</v>
      </c>
      <c r="O205" s="17">
        <f ca="1">'1ER PERIODO DESARROLLO ECONOMIC'!Q18</f>
        <v>90</v>
      </c>
      <c r="P205" s="17">
        <f ca="1">'1ER PERIODO DESARROLLO ECONOMIC'!R18</f>
        <v>74</v>
      </c>
      <c r="Q205" s="24">
        <f ca="1">'1ER PERIODO DESARROLLO ECONOMIC'!S18</f>
        <v>764</v>
      </c>
    </row>
    <row r="206" spans="1:17" ht="39.75" customHeight="1" thickTop="1" thickBot="1">
      <c r="A206" s="55" t="s">
        <v>255</v>
      </c>
      <c r="B206" s="55" t="s">
        <v>256</v>
      </c>
      <c r="C206" s="7" t="s">
        <v>257</v>
      </c>
      <c r="D206" s="18">
        <f ca="1">'1ER PERIODO CONSTRUCCION DE LA '!F2</f>
        <v>68.181818181818102</v>
      </c>
      <c r="E206" s="19">
        <f ca="1">'1ER PERIODO CONSTRUCCION DE LA '!G2</f>
        <v>4</v>
      </c>
      <c r="F206" s="19">
        <f ca="1">'1ER PERIODO CONSTRUCCION DE LA '!H2</f>
        <v>12</v>
      </c>
      <c r="G206" s="19">
        <f ca="1">'1ER PERIODO CONSTRUCCION DE LA '!I2</f>
        <v>4</v>
      </c>
      <c r="H206" s="19">
        <f ca="1">'1ER PERIODO CONSTRUCCION DE LA '!J2</f>
        <v>7</v>
      </c>
      <c r="I206" s="19">
        <f ca="1">'1ER PERIODO CONSTRUCCION DE LA '!K2</f>
        <v>10</v>
      </c>
      <c r="J206" s="19">
        <f ca="1">'1ER PERIODO CONSTRUCCION DE LA '!L2</f>
        <v>8</v>
      </c>
      <c r="K206" s="19">
        <f ca="1">'1ER PERIODO CONSTRUCCION DE LA '!M2</f>
        <v>0</v>
      </c>
      <c r="L206" s="19">
        <f ca="1">'1ER PERIODO CONSTRUCCION DE LA '!N2</f>
        <v>2</v>
      </c>
      <c r="M206" s="19">
        <f ca="1">'1ER PERIODO CONSTRUCCION DE LA '!O2</f>
        <v>2</v>
      </c>
      <c r="N206" s="19">
        <f ca="1">'1ER PERIODO CONSTRUCCION DE LA '!P2</f>
        <v>4</v>
      </c>
      <c r="O206" s="19">
        <f ca="1">'1ER PERIODO CONSTRUCCION DE LA '!Q2</f>
        <v>7</v>
      </c>
      <c r="P206" s="19">
        <f ca="1">'1ER PERIODO CONSTRUCCION DE LA '!R2</f>
        <v>0</v>
      </c>
      <c r="Q206" s="21">
        <f ca="1">'1ER PERIODO CONSTRUCCION DE LA '!S2</f>
        <v>60</v>
      </c>
    </row>
    <row r="207" spans="1:17" ht="39.75" customHeight="1" thickTop="1" thickBot="1">
      <c r="A207" s="53"/>
      <c r="B207" s="51"/>
      <c r="C207" s="7" t="s">
        <v>258</v>
      </c>
      <c r="D207" s="18">
        <f ca="1">'1ER PERIODO CONSTRUCCION DE LA '!F3</f>
        <v>158.333333333333</v>
      </c>
      <c r="E207" s="19">
        <f ca="1">'1ER PERIODO CONSTRUCCION DE LA '!G3</f>
        <v>34</v>
      </c>
      <c r="F207" s="19">
        <f ca="1">'1ER PERIODO CONSTRUCCION DE LA '!H3</f>
        <v>5</v>
      </c>
      <c r="G207" s="19">
        <f ca="1">'1ER PERIODO CONSTRUCCION DE LA '!I3</f>
        <v>9</v>
      </c>
      <c r="H207" s="19">
        <f ca="1">'1ER PERIODO CONSTRUCCION DE LA '!J3</f>
        <v>0</v>
      </c>
      <c r="I207" s="19">
        <f ca="1">'1ER PERIODO CONSTRUCCION DE LA '!K3</f>
        <v>7</v>
      </c>
      <c r="J207" s="19">
        <f ca="1">'1ER PERIODO CONSTRUCCION DE LA '!L3</f>
        <v>0</v>
      </c>
      <c r="K207" s="19">
        <f ca="1">'1ER PERIODO CONSTRUCCION DE LA '!M3</f>
        <v>33</v>
      </c>
      <c r="L207" s="19">
        <f ca="1">'1ER PERIODO CONSTRUCCION DE LA '!N3</f>
        <v>2</v>
      </c>
      <c r="M207" s="19">
        <f ca="1">'1ER PERIODO CONSTRUCCION DE LA '!O3</f>
        <v>8</v>
      </c>
      <c r="N207" s="19">
        <f ca="1">'1ER PERIODO CONSTRUCCION DE LA '!P3</f>
        <v>12</v>
      </c>
      <c r="O207" s="19">
        <f ca="1">'1ER PERIODO CONSTRUCCION DE LA '!Q3</f>
        <v>4</v>
      </c>
      <c r="P207" s="19">
        <f ca="1">'1ER PERIODO CONSTRUCCION DE LA '!R3</f>
        <v>0</v>
      </c>
      <c r="Q207" s="21">
        <f ca="1">'1ER PERIODO CONSTRUCCION DE LA '!S3</f>
        <v>114</v>
      </c>
    </row>
    <row r="208" spans="1:17" ht="39.75" customHeight="1" thickTop="1" thickBot="1">
      <c r="A208" s="53"/>
      <c r="B208" s="50" t="s">
        <v>259</v>
      </c>
      <c r="C208" s="7" t="s">
        <v>260</v>
      </c>
      <c r="D208" s="18">
        <f ca="1">'1ER PERIODO CONSTRUCCION DE LA '!F4</f>
        <v>77.7777777777777</v>
      </c>
      <c r="E208" s="19">
        <f ca="1">'1ER PERIODO CONSTRUCCION DE LA '!G4</f>
        <v>5</v>
      </c>
      <c r="F208" s="19">
        <f ca="1">'1ER PERIODO CONSTRUCCION DE LA '!H4</f>
        <v>1</v>
      </c>
      <c r="G208" s="19">
        <f ca="1">'1ER PERIODO CONSTRUCCION DE LA '!I4</f>
        <v>0</v>
      </c>
      <c r="H208" s="19">
        <f ca="1">'1ER PERIODO CONSTRUCCION DE LA '!J4</f>
        <v>2</v>
      </c>
      <c r="I208" s="19">
        <f ca="1">'1ER PERIODO CONSTRUCCION DE LA '!K4</f>
        <v>3</v>
      </c>
      <c r="J208" s="19">
        <f ca="1">'1ER PERIODO CONSTRUCCION DE LA '!L4</f>
        <v>0</v>
      </c>
      <c r="K208" s="19">
        <f ca="1">'1ER PERIODO CONSTRUCCION DE LA '!M4</f>
        <v>2</v>
      </c>
      <c r="L208" s="19">
        <f ca="1">'1ER PERIODO CONSTRUCCION DE LA '!N4</f>
        <v>1</v>
      </c>
      <c r="M208" s="19">
        <f ca="1">'1ER PERIODO CONSTRUCCION DE LA '!O4</f>
        <v>1</v>
      </c>
      <c r="N208" s="19">
        <f ca="1">'1ER PERIODO CONSTRUCCION DE LA '!P4</f>
        <v>2</v>
      </c>
      <c r="O208" s="19">
        <f ca="1">'1ER PERIODO CONSTRUCCION DE LA '!Q4</f>
        <v>5</v>
      </c>
      <c r="P208" s="19">
        <f ca="1">'1ER PERIODO CONSTRUCCION DE LA '!R4</f>
        <v>6</v>
      </c>
      <c r="Q208" s="21">
        <f ca="1">'1ER PERIODO CONSTRUCCION DE LA '!S4</f>
        <v>28</v>
      </c>
    </row>
    <row r="209" spans="1:17" ht="39.75" customHeight="1" thickTop="1" thickBot="1">
      <c r="A209" s="53"/>
      <c r="B209" s="53"/>
      <c r="C209" s="7" t="s">
        <v>261</v>
      </c>
      <c r="D209" s="18">
        <f ca="1">'1ER PERIODO CONSTRUCCION DE LA '!F5</f>
        <v>3900</v>
      </c>
      <c r="E209" s="19">
        <f ca="1">'1ER PERIODO CONSTRUCCION DE LA '!G5</f>
        <v>1</v>
      </c>
      <c r="F209" s="19">
        <f ca="1">'1ER PERIODO CONSTRUCCION DE LA '!H5</f>
        <v>0</v>
      </c>
      <c r="G209" s="19">
        <f ca="1">'1ER PERIODO CONSTRUCCION DE LA '!I5</f>
        <v>0</v>
      </c>
      <c r="H209" s="19">
        <f ca="1">'1ER PERIODO CONSTRUCCION DE LA '!J5</f>
        <v>0</v>
      </c>
      <c r="I209" s="19">
        <f ca="1">'1ER PERIODO CONSTRUCCION DE LA '!K5</f>
        <v>0</v>
      </c>
      <c r="J209" s="19">
        <f ca="1">'1ER PERIODO CONSTRUCCION DE LA '!L5</f>
        <v>1</v>
      </c>
      <c r="K209" s="19">
        <f ca="1">'1ER PERIODO CONSTRUCCION DE LA '!M5</f>
        <v>31</v>
      </c>
      <c r="L209" s="19">
        <f ca="1">'1ER PERIODO CONSTRUCCION DE LA '!N5</f>
        <v>0</v>
      </c>
      <c r="M209" s="19">
        <f ca="1">'1ER PERIODO CONSTRUCCION DE LA '!O5</f>
        <v>0</v>
      </c>
      <c r="N209" s="19">
        <f ca="1">'1ER PERIODO CONSTRUCCION DE LA '!P5</f>
        <v>3</v>
      </c>
      <c r="O209" s="19">
        <f ca="1">'1ER PERIODO CONSTRUCCION DE LA '!Q5</f>
        <v>2</v>
      </c>
      <c r="P209" s="19">
        <f ca="1">'1ER PERIODO CONSTRUCCION DE LA '!R5</f>
        <v>1</v>
      </c>
      <c r="Q209" s="21">
        <f ca="1">'1ER PERIODO CONSTRUCCION DE LA '!S5</f>
        <v>39</v>
      </c>
    </row>
    <row r="210" spans="1:17" ht="39.75" customHeight="1" thickTop="1" thickBot="1">
      <c r="A210" s="53"/>
      <c r="B210" s="51"/>
      <c r="C210" s="7" t="s">
        <v>38</v>
      </c>
      <c r="D210" s="18">
        <f ca="1">'1ER PERIODO CONSTRUCCION DE LA '!F6</f>
        <v>43.265422696115699</v>
      </c>
      <c r="E210" s="19">
        <f ca="1">'1ER PERIODO CONSTRUCCION DE LA '!G6</f>
        <v>2858</v>
      </c>
      <c r="F210" s="19">
        <f ca="1">'1ER PERIODO CONSTRUCCION DE LA '!H6</f>
        <v>300</v>
      </c>
      <c r="G210" s="19">
        <f ca="1">'1ER PERIODO CONSTRUCCION DE LA '!I6</f>
        <v>250</v>
      </c>
      <c r="H210" s="19">
        <f ca="1">'1ER PERIODO CONSTRUCCION DE LA '!J6</f>
        <v>800</v>
      </c>
      <c r="I210" s="19">
        <f ca="1">'1ER PERIODO CONSTRUCCION DE LA '!K6</f>
        <v>12250</v>
      </c>
      <c r="J210" s="19">
        <f ca="1">'1ER PERIODO CONSTRUCCION DE LA '!L6</f>
        <v>110</v>
      </c>
      <c r="K210" s="19">
        <f ca="1">'1ER PERIODO CONSTRUCCION DE LA '!M6</f>
        <v>360</v>
      </c>
      <c r="L210" s="19">
        <f ca="1">'1ER PERIODO CONSTRUCCION DE LA '!N6</f>
        <v>300</v>
      </c>
      <c r="M210" s="19">
        <f ca="1">'1ER PERIODO CONSTRUCCION DE LA '!O6</f>
        <v>250</v>
      </c>
      <c r="N210" s="19">
        <f ca="1">'1ER PERIODO CONSTRUCCION DE LA '!P6</f>
        <v>338</v>
      </c>
      <c r="O210" s="19">
        <f ca="1">'1ER PERIODO CONSTRUCCION DE LA '!Q6</f>
        <v>598</v>
      </c>
      <c r="P210" s="19">
        <f ca="1">'1ER PERIODO CONSTRUCCION DE LA '!R6</f>
        <v>4309</v>
      </c>
      <c r="Q210" s="21">
        <f ca="1">'1ER PERIODO CONSTRUCCION DE LA '!S6</f>
        <v>22723</v>
      </c>
    </row>
    <row r="211" spans="1:17" ht="39.75" customHeight="1" thickTop="1" thickBot="1">
      <c r="A211" s="53"/>
      <c r="B211" s="50" t="s">
        <v>262</v>
      </c>
      <c r="C211" s="22" t="s">
        <v>263</v>
      </c>
      <c r="D211" s="18">
        <f ca="1">'1ER PERIODO CONSTRUCCION DE LA '!F7</f>
        <v>94.956140350877106</v>
      </c>
      <c r="E211" s="19">
        <f ca="1">'1ER PERIODO CONSTRUCCION DE LA '!G7</f>
        <v>26</v>
      </c>
      <c r="F211" s="19">
        <f ca="1">'1ER PERIODO CONSTRUCCION DE LA '!H7</f>
        <v>41</v>
      </c>
      <c r="G211" s="19">
        <f ca="1">'1ER PERIODO CONSTRUCCION DE LA '!I7</f>
        <v>39</v>
      </c>
      <c r="H211" s="19">
        <f ca="1">'1ER PERIODO CONSTRUCCION DE LA '!J7</f>
        <v>38</v>
      </c>
      <c r="I211" s="19">
        <f ca="1">'1ER PERIODO CONSTRUCCION DE LA '!K7</f>
        <v>38</v>
      </c>
      <c r="J211" s="19">
        <f ca="1">'1ER PERIODO CONSTRUCCION DE LA '!L7</f>
        <v>38</v>
      </c>
      <c r="K211" s="19">
        <f ca="1">'1ER PERIODO CONSTRUCCION DE LA '!M7</f>
        <v>26</v>
      </c>
      <c r="L211" s="19">
        <f ca="1">'1ER PERIODO CONSTRUCCION DE LA '!N7</f>
        <v>41</v>
      </c>
      <c r="M211" s="19">
        <f ca="1">'1ER PERIODO CONSTRUCCION DE LA '!O7</f>
        <v>39</v>
      </c>
      <c r="N211" s="19">
        <f ca="1">'1ER PERIODO CONSTRUCCION DE LA '!P7</f>
        <v>39</v>
      </c>
      <c r="O211" s="19">
        <f ca="1">'1ER PERIODO CONSTRUCCION DE LA '!Q7</f>
        <v>37</v>
      </c>
      <c r="P211" s="19">
        <f ca="1">'1ER PERIODO CONSTRUCCION DE LA '!R7</f>
        <v>31</v>
      </c>
      <c r="Q211" s="21">
        <f ca="1">'1ER PERIODO CONSTRUCCION DE LA '!S7</f>
        <v>433</v>
      </c>
    </row>
    <row r="212" spans="1:17" ht="39.75" customHeight="1" thickTop="1" thickBot="1">
      <c r="A212" s="53"/>
      <c r="B212" s="53"/>
      <c r="C212" s="22" t="s">
        <v>264</v>
      </c>
      <c r="D212" s="18">
        <f ca="1">'1ER PERIODO CONSTRUCCION DE LA '!F8</f>
        <v>104.76190476190401</v>
      </c>
      <c r="E212" s="19">
        <f ca="1">'1ER PERIODO CONSTRUCCION DE LA '!G8</f>
        <v>5</v>
      </c>
      <c r="F212" s="19">
        <f ca="1">'1ER PERIODO CONSTRUCCION DE LA '!H8</f>
        <v>7</v>
      </c>
      <c r="G212" s="19">
        <f ca="1">'1ER PERIODO CONSTRUCCION DE LA '!I8</f>
        <v>9</v>
      </c>
      <c r="H212" s="19">
        <f ca="1">'1ER PERIODO CONSTRUCCION DE LA '!J8</f>
        <v>7</v>
      </c>
      <c r="I212" s="19">
        <f ca="1">'1ER PERIODO CONSTRUCCION DE LA '!K8</f>
        <v>7</v>
      </c>
      <c r="J212" s="19">
        <f ca="1">'1ER PERIODO CONSTRUCCION DE LA '!L8</f>
        <v>7</v>
      </c>
      <c r="K212" s="19">
        <f ca="1">'1ER PERIODO CONSTRUCCION DE LA '!M8</f>
        <v>5</v>
      </c>
      <c r="L212" s="19">
        <f ca="1">'1ER PERIODO CONSTRUCCION DE LA '!N8</f>
        <v>7</v>
      </c>
      <c r="M212" s="19">
        <f ca="1">'1ER PERIODO CONSTRUCCION DE LA '!O8</f>
        <v>9</v>
      </c>
      <c r="N212" s="19">
        <f ca="1">'1ER PERIODO CONSTRUCCION DE LA '!P8</f>
        <v>9</v>
      </c>
      <c r="O212" s="19">
        <f ca="1">'1ER PERIODO CONSTRUCCION DE LA '!Q8</f>
        <v>8</v>
      </c>
      <c r="P212" s="19">
        <f ca="1">'1ER PERIODO CONSTRUCCION DE LA '!R8</f>
        <v>8</v>
      </c>
      <c r="Q212" s="21">
        <f ca="1">'1ER PERIODO CONSTRUCCION DE LA '!S8</f>
        <v>88</v>
      </c>
    </row>
    <row r="213" spans="1:17" ht="39.75" customHeight="1" thickTop="1" thickBot="1">
      <c r="A213" s="53"/>
      <c r="B213" s="53"/>
      <c r="C213" s="22" t="s">
        <v>265</v>
      </c>
      <c r="D213" s="18">
        <f ca="1">'1ER PERIODO CONSTRUCCION DE LA '!F9</f>
        <v>113.333333333333</v>
      </c>
      <c r="E213" s="19">
        <f ca="1">'1ER PERIODO CONSTRUCCION DE LA '!G9</f>
        <v>22</v>
      </c>
      <c r="F213" s="19">
        <f ca="1">'1ER PERIODO CONSTRUCCION DE LA '!H9</f>
        <v>24</v>
      </c>
      <c r="G213" s="19">
        <f ca="1">'1ER PERIODO CONSTRUCCION DE LA '!I9</f>
        <v>12</v>
      </c>
      <c r="H213" s="19">
        <f ca="1">'1ER PERIODO CONSTRUCCION DE LA '!J9</f>
        <v>20</v>
      </c>
      <c r="I213" s="19">
        <f ca="1">'1ER PERIODO CONSTRUCCION DE LA '!K9</f>
        <v>20</v>
      </c>
      <c r="J213" s="19">
        <f ca="1">'1ER PERIODO CONSTRUCCION DE LA '!L9</f>
        <v>20</v>
      </c>
      <c r="K213" s="19">
        <f ca="1">'1ER PERIODO CONSTRUCCION DE LA '!M9</f>
        <v>22</v>
      </c>
      <c r="L213" s="19">
        <f ca="1">'1ER PERIODO CONSTRUCCION DE LA '!N9</f>
        <v>24</v>
      </c>
      <c r="M213" s="19">
        <f ca="1">'1ER PERIODO CONSTRUCCION DE LA '!O9</f>
        <v>12</v>
      </c>
      <c r="N213" s="19">
        <f ca="1">'1ER PERIODO CONSTRUCCION DE LA '!P9</f>
        <v>24</v>
      </c>
      <c r="O213" s="19">
        <f ca="1">'1ER PERIODO CONSTRUCCION DE LA '!Q9</f>
        <v>36</v>
      </c>
      <c r="P213" s="19">
        <f ca="1">'1ER PERIODO CONSTRUCCION DE LA '!R9</f>
        <v>36</v>
      </c>
      <c r="Q213" s="21">
        <f ca="1">'1ER PERIODO CONSTRUCCION DE LA '!S9</f>
        <v>272</v>
      </c>
    </row>
    <row r="214" spans="1:17" ht="39.75" customHeight="1" thickTop="1" thickBot="1">
      <c r="A214" s="53"/>
      <c r="B214" s="53"/>
      <c r="C214" s="22" t="s">
        <v>266</v>
      </c>
      <c r="D214" s="18">
        <f ca="1">'1ER PERIODO CONSTRUCCION DE LA '!F10</f>
        <v>162.03703703703701</v>
      </c>
      <c r="E214" s="19">
        <f ca="1">'1ER PERIODO CONSTRUCCION DE LA '!G10</f>
        <v>24</v>
      </c>
      <c r="F214" s="19">
        <f ca="1">'1ER PERIODO CONSTRUCCION DE LA '!H10</f>
        <v>24</v>
      </c>
      <c r="G214" s="19">
        <f ca="1">'1ER PERIODO CONSTRUCCION DE LA '!I10</f>
        <v>40</v>
      </c>
      <c r="H214" s="19">
        <f ca="1">'1ER PERIODO CONSTRUCCION DE LA '!J10</f>
        <v>18</v>
      </c>
      <c r="I214" s="19">
        <f ca="1">'1ER PERIODO CONSTRUCCION DE LA '!K10</f>
        <v>18</v>
      </c>
      <c r="J214" s="19">
        <f ca="1">'1ER PERIODO CONSTRUCCION DE LA '!L10</f>
        <v>18</v>
      </c>
      <c r="K214" s="19">
        <f ca="1">'1ER PERIODO CONSTRUCCION DE LA '!M10</f>
        <v>24</v>
      </c>
      <c r="L214" s="19">
        <f ca="1">'1ER PERIODO CONSTRUCCION DE LA '!N10</f>
        <v>24</v>
      </c>
      <c r="M214" s="19">
        <f ca="1">'1ER PERIODO CONSTRUCCION DE LA '!O10</f>
        <v>40</v>
      </c>
      <c r="N214" s="19">
        <f ca="1">'1ER PERIODO CONSTRUCCION DE LA '!P10</f>
        <v>40</v>
      </c>
      <c r="O214" s="19">
        <f ca="1">'1ER PERIODO CONSTRUCCION DE LA '!Q10</f>
        <v>42</v>
      </c>
      <c r="P214" s="19">
        <f ca="1">'1ER PERIODO CONSTRUCCION DE LA '!R10</f>
        <v>38</v>
      </c>
      <c r="Q214" s="21">
        <f ca="1">'1ER PERIODO CONSTRUCCION DE LA '!S10</f>
        <v>350</v>
      </c>
    </row>
    <row r="215" spans="1:17" ht="39.75" customHeight="1" thickTop="1" thickBot="1">
      <c r="A215" s="53"/>
      <c r="B215" s="53"/>
      <c r="C215" s="25" t="s">
        <v>267</v>
      </c>
      <c r="D215" s="18">
        <f ca="1">'1ER PERIODO CONSTRUCCION DE LA '!F11</f>
        <v>132.08812260536399</v>
      </c>
      <c r="E215" s="19">
        <f ca="1">'1ER PERIODO CONSTRUCCION DE LA '!G11</f>
        <v>192</v>
      </c>
      <c r="F215" s="19">
        <f ca="1">'1ER PERIODO CONSTRUCCION DE LA '!H11</f>
        <v>280</v>
      </c>
      <c r="G215" s="19">
        <f ca="1">'1ER PERIODO CONSTRUCCION DE LA '!I11</f>
        <v>0</v>
      </c>
      <c r="H215" s="19">
        <f ca="1">'1ER PERIODO CONSTRUCCION DE LA '!J11</f>
        <v>174</v>
      </c>
      <c r="I215" s="19">
        <f ca="1">'1ER PERIODO CONSTRUCCION DE LA '!K11</f>
        <v>174</v>
      </c>
      <c r="J215" s="19">
        <f ca="1">'1ER PERIODO CONSTRUCCION DE LA '!L11</f>
        <v>174</v>
      </c>
      <c r="K215" s="19">
        <f ca="1">'1ER PERIODO CONSTRUCCION DE LA '!M11</f>
        <v>192</v>
      </c>
      <c r="L215" s="19">
        <f ca="1">'1ER PERIODO CONSTRUCCION DE LA '!N11</f>
        <v>280</v>
      </c>
      <c r="M215" s="19">
        <f ca="1">'1ER PERIODO CONSTRUCCION DE LA '!O11</f>
        <v>282</v>
      </c>
      <c r="N215" s="19">
        <f ca="1">'1ER PERIODO CONSTRUCCION DE LA '!P11</f>
        <v>282</v>
      </c>
      <c r="O215" s="19">
        <f ca="1">'1ER PERIODO CONSTRUCCION DE LA '!Q11</f>
        <v>348</v>
      </c>
      <c r="P215" s="19">
        <f ca="1">'1ER PERIODO CONSTRUCCION DE LA '!R11</f>
        <v>380</v>
      </c>
      <c r="Q215" s="21">
        <f ca="1">'1ER PERIODO CONSTRUCCION DE LA '!S11</f>
        <v>2758</v>
      </c>
    </row>
    <row r="216" spans="1:17" ht="39.75" customHeight="1" thickTop="1" thickBot="1">
      <c r="A216" s="53"/>
      <c r="B216" s="53"/>
      <c r="C216" s="22" t="s">
        <v>268</v>
      </c>
      <c r="D216" s="18">
        <f ca="1">'1ER PERIODO CONSTRUCCION DE LA '!F12</f>
        <v>63.078703703703702</v>
      </c>
      <c r="E216" s="19">
        <f ca="1">'1ER PERIODO CONSTRUCCION DE LA '!G12</f>
        <v>24</v>
      </c>
      <c r="F216" s="19">
        <f ca="1">'1ER PERIODO CONSTRUCCION DE LA '!H12</f>
        <v>40</v>
      </c>
      <c r="G216" s="19">
        <f ca="1">'1ER PERIODO CONSTRUCCION DE LA '!I12</f>
        <v>41</v>
      </c>
      <c r="H216" s="19">
        <f ca="1">'1ER PERIODO CONSTRUCCION DE LA '!J12</f>
        <v>72</v>
      </c>
      <c r="I216" s="19">
        <f ca="1">'1ER PERIODO CONSTRUCCION DE LA '!K12</f>
        <v>72</v>
      </c>
      <c r="J216" s="19">
        <f ca="1">'1ER PERIODO CONSTRUCCION DE LA '!L12</f>
        <v>72</v>
      </c>
      <c r="K216" s="19">
        <f ca="1">'1ER PERIODO CONSTRUCCION DE LA '!M12</f>
        <v>24</v>
      </c>
      <c r="L216" s="19">
        <f ca="1">'1ER PERIODO CONSTRUCCION DE LA '!N12</f>
        <v>40</v>
      </c>
      <c r="M216" s="19">
        <f ca="1">'1ER PERIODO CONSTRUCCION DE LA '!O12</f>
        <v>40</v>
      </c>
      <c r="N216" s="19">
        <f ca="1">'1ER PERIODO CONSTRUCCION DE LA '!P12</f>
        <v>40</v>
      </c>
      <c r="O216" s="19">
        <f ca="1">'1ER PERIODO CONSTRUCCION DE LA '!Q12</f>
        <v>42</v>
      </c>
      <c r="P216" s="19">
        <f ca="1">'1ER PERIODO CONSTRUCCION DE LA '!R12</f>
        <v>38</v>
      </c>
      <c r="Q216" s="21">
        <f ca="1">'1ER PERIODO CONSTRUCCION DE LA '!S12</f>
        <v>545</v>
      </c>
    </row>
    <row r="217" spans="1:17" ht="39.75" customHeight="1" thickTop="1" thickBot="1">
      <c r="A217" s="53"/>
      <c r="B217" s="53"/>
      <c r="C217" s="22" t="s">
        <v>269</v>
      </c>
      <c r="D217" s="18">
        <f ca="1">'1ER PERIODO CONSTRUCCION DE LA '!F13</f>
        <v>29222.916666666599</v>
      </c>
      <c r="E217" s="19">
        <f ca="1">'1ER PERIODO CONSTRUCCION DE LA '!G13</f>
        <v>1513</v>
      </c>
      <c r="F217" s="19">
        <f ca="1">'1ER PERIODO CONSTRUCCION DE LA '!H13</f>
        <v>0</v>
      </c>
      <c r="G217" s="19">
        <f ca="1">'1ER PERIODO CONSTRUCCION DE LA '!I13</f>
        <v>2051</v>
      </c>
      <c r="H217" s="19">
        <f ca="1">'1ER PERIODO CONSTRUCCION DE LA '!J13</f>
        <v>1733</v>
      </c>
      <c r="I217" s="19">
        <f ca="1">'1ER PERIODO CONSTRUCCION DE LA '!K13</f>
        <v>1323</v>
      </c>
      <c r="J217" s="19">
        <f ca="1">'1ER PERIODO CONSTRUCCION DE LA '!L13</f>
        <v>5</v>
      </c>
      <c r="K217" s="19">
        <f ca="1">'1ER PERIODO CONSTRUCCION DE LA '!M13</f>
        <v>1513</v>
      </c>
      <c r="L217" s="19">
        <f ca="1">'1ER PERIODO CONSTRUCCION DE LA '!N13</f>
        <v>1869</v>
      </c>
      <c r="M217" s="19">
        <f ca="1">'1ER PERIODO CONSTRUCCION DE LA '!O13</f>
        <v>2051</v>
      </c>
      <c r="N217" s="19">
        <f ca="1">'1ER PERIODO CONSTRUCCION DE LA '!P13</f>
        <v>940</v>
      </c>
      <c r="O217" s="19">
        <f ca="1">'1ER PERIODO CONSTRUCCION DE LA '!Q13</f>
        <v>1029</v>
      </c>
      <c r="P217" s="19">
        <f ca="1">'1ER PERIODO CONSTRUCCION DE LA '!R13</f>
        <v>0</v>
      </c>
      <c r="Q217" s="21">
        <f ca="1">'1ER PERIODO CONSTRUCCION DE LA '!S13</f>
        <v>14027</v>
      </c>
    </row>
    <row r="218" spans="1:17" ht="39.75" customHeight="1" thickTop="1" thickBot="1">
      <c r="A218" s="53"/>
      <c r="B218" s="51"/>
      <c r="C218" s="22" t="s">
        <v>270</v>
      </c>
      <c r="D218" s="18">
        <f ca="1">'1ER PERIODO CONSTRUCCION DE LA '!F14</f>
        <v>0.113554864929476</v>
      </c>
      <c r="E218" s="19">
        <f ca="1">'1ER PERIODO CONSTRUCCION DE LA '!G14</f>
        <v>2</v>
      </c>
      <c r="F218" s="19">
        <f ca="1">'1ER PERIODO CONSTRUCCION DE LA '!H14</f>
        <v>1</v>
      </c>
      <c r="G218" s="19">
        <f ca="1">'1ER PERIODO CONSTRUCCION DE LA '!I14</f>
        <v>1</v>
      </c>
      <c r="H218" s="19">
        <f ca="1">'1ER PERIODO CONSTRUCCION DE LA '!J14</f>
        <v>2</v>
      </c>
      <c r="I218" s="19">
        <f ca="1">'1ER PERIODO CONSTRUCCION DE LA '!K14</f>
        <v>3</v>
      </c>
      <c r="J218" s="19">
        <f ca="1">'1ER PERIODO CONSTRUCCION DE LA '!L14</f>
        <v>2</v>
      </c>
      <c r="K218" s="19">
        <f ca="1">'1ER PERIODO CONSTRUCCION DE LA '!M14</f>
        <v>2</v>
      </c>
      <c r="L218" s="19">
        <f ca="1">'1ER PERIODO CONSTRUCCION DE LA '!N14</f>
        <v>2</v>
      </c>
      <c r="M218" s="19">
        <f ca="1">'1ER PERIODO CONSTRUCCION DE LA '!O14</f>
        <v>0</v>
      </c>
      <c r="N218" s="19">
        <f ca="1">'1ER PERIODO CONSTRUCCION DE LA '!P14</f>
        <v>0</v>
      </c>
      <c r="O218" s="19">
        <f ca="1">'1ER PERIODO CONSTRUCCION DE LA '!Q14</f>
        <v>2</v>
      </c>
      <c r="P218" s="19">
        <f ca="1">'1ER PERIODO CONSTRUCCION DE LA '!R14</f>
        <v>2</v>
      </c>
      <c r="Q218" s="21">
        <f ca="1">'1ER PERIODO CONSTRUCCION DE LA '!S14</f>
        <v>19</v>
      </c>
    </row>
    <row r="219" spans="1:17" ht="39.75" customHeight="1" thickTop="1" thickBot="1">
      <c r="A219" s="53"/>
      <c r="B219" s="50" t="s">
        <v>271</v>
      </c>
      <c r="C219" s="26" t="s">
        <v>38</v>
      </c>
      <c r="D219" s="18">
        <f ca="1">'1ER PERIODO CONSTRUCCION DE LA '!F15</f>
        <v>11250</v>
      </c>
      <c r="E219" s="19">
        <f ca="1">'1ER PERIODO CONSTRUCCION DE LA '!G15</f>
        <v>450</v>
      </c>
      <c r="F219" s="19">
        <f ca="1">'1ER PERIODO CONSTRUCCION DE LA '!H15</f>
        <v>50</v>
      </c>
      <c r="G219" s="19">
        <f ca="1">'1ER PERIODO CONSTRUCCION DE LA '!I15</f>
        <v>450</v>
      </c>
      <c r="H219" s="19">
        <f ca="1">'1ER PERIODO CONSTRUCCION DE LA '!J15</f>
        <v>300</v>
      </c>
      <c r="I219" s="19">
        <f ca="1">'1ER PERIODO CONSTRUCCION DE LA '!K15</f>
        <v>500</v>
      </c>
      <c r="J219" s="19">
        <f ca="1">'1ER PERIODO CONSTRUCCION DE LA '!L15</f>
        <v>50</v>
      </c>
      <c r="K219" s="19">
        <f ca="1">'1ER PERIODO CONSTRUCCION DE LA '!M15</f>
        <v>450</v>
      </c>
      <c r="L219" s="19">
        <f ca="1">'1ER PERIODO CONSTRUCCION DE LA '!N15</f>
        <v>450</v>
      </c>
      <c r="M219" s="19">
        <f ca="1">'1ER PERIODO CONSTRUCCION DE LA '!O15</f>
        <v>450</v>
      </c>
      <c r="N219" s="19">
        <f ca="1">'1ER PERIODO CONSTRUCCION DE LA '!P15</f>
        <v>0</v>
      </c>
      <c r="O219" s="19">
        <f ca="1">'1ER PERIODO CONSTRUCCION DE LA '!Q15</f>
        <v>0</v>
      </c>
      <c r="P219" s="19">
        <f ca="1">'1ER PERIODO CONSTRUCCION DE LA '!R15</f>
        <v>0</v>
      </c>
      <c r="Q219" s="21">
        <f ca="1">'1ER PERIODO CONSTRUCCION DE LA '!S15</f>
        <v>3150</v>
      </c>
    </row>
    <row r="220" spans="1:17" ht="39.75" customHeight="1" thickTop="1" thickBot="1">
      <c r="A220" s="53"/>
      <c r="B220" s="51"/>
      <c r="C220" s="26" t="s">
        <v>37</v>
      </c>
      <c r="D220" s="18">
        <f ca="1">'1ER PERIODO CONSTRUCCION DE LA '!F16</f>
        <v>0.61764705882352899</v>
      </c>
      <c r="E220" s="19">
        <f ca="1">'1ER PERIODO CONSTRUCCION DE LA '!G16</f>
        <v>1</v>
      </c>
      <c r="F220" s="19">
        <f ca="1">'1ER PERIODO CONSTRUCCION DE LA '!H16</f>
        <v>2</v>
      </c>
      <c r="G220" s="19">
        <f ca="1">'1ER PERIODO CONSTRUCCION DE LA '!I16</f>
        <v>3</v>
      </c>
      <c r="H220" s="19">
        <f ca="1">'1ER PERIODO CONSTRUCCION DE LA '!J16</f>
        <v>2</v>
      </c>
      <c r="I220" s="19">
        <f ca="1">'1ER PERIODO CONSTRUCCION DE LA '!K16</f>
        <v>3</v>
      </c>
      <c r="J220" s="19">
        <f ca="1">'1ER PERIODO CONSTRUCCION DE LA '!L16</f>
        <v>3</v>
      </c>
      <c r="K220" s="19">
        <f ca="1">'1ER PERIODO CONSTRUCCION DE LA '!M16</f>
        <v>1</v>
      </c>
      <c r="L220" s="19">
        <f ca="1">'1ER PERIODO CONSTRUCCION DE LA '!N16</f>
        <v>2</v>
      </c>
      <c r="M220" s="19">
        <f ca="1">'1ER PERIODO CONSTRUCCION DE LA '!O16</f>
        <v>3</v>
      </c>
      <c r="N220" s="19">
        <f ca="1">'1ER PERIODO CONSTRUCCION DE LA '!P16</f>
        <v>0</v>
      </c>
      <c r="O220" s="19">
        <f ca="1">'1ER PERIODO CONSTRUCCION DE LA '!Q16</f>
        <v>0</v>
      </c>
      <c r="P220" s="19">
        <f ca="1">'1ER PERIODO CONSTRUCCION DE LA '!R16</f>
        <v>1</v>
      </c>
      <c r="Q220" s="21">
        <f ca="1">'1ER PERIODO CONSTRUCCION DE LA '!S16</f>
        <v>21</v>
      </c>
    </row>
    <row r="221" spans="1:17" ht="39.75" customHeight="1" thickTop="1" thickBot="1">
      <c r="A221" s="53"/>
      <c r="B221" s="50" t="s">
        <v>272</v>
      </c>
      <c r="C221" s="22" t="s">
        <v>37</v>
      </c>
      <c r="D221" s="18">
        <f ca="1">'1ER PERIODO CONSTRUCCION DE LA '!F17</f>
        <v>62.5</v>
      </c>
      <c r="E221" s="19">
        <f ca="1">'1ER PERIODO CONSTRUCCION DE LA '!G17</f>
        <v>2</v>
      </c>
      <c r="F221" s="19">
        <f ca="1">'1ER PERIODO CONSTRUCCION DE LA '!H17</f>
        <v>0</v>
      </c>
      <c r="G221" s="19">
        <f ca="1">'1ER PERIODO CONSTRUCCION DE LA '!I17</f>
        <v>0</v>
      </c>
      <c r="H221" s="19">
        <f ca="1">'1ER PERIODO CONSTRUCCION DE LA '!J17</f>
        <v>5</v>
      </c>
      <c r="I221" s="19">
        <f ca="1">'1ER PERIODO CONSTRUCCION DE LA '!K17</f>
        <v>3</v>
      </c>
      <c r="J221" s="19">
        <f ca="1">'1ER PERIODO CONSTRUCCION DE LA '!L17</f>
        <v>4</v>
      </c>
      <c r="K221" s="19">
        <f ca="1">'1ER PERIODO CONSTRUCCION DE LA '!M17</f>
        <v>2</v>
      </c>
      <c r="L221" s="19">
        <f ca="1">'1ER PERIODO CONSTRUCCION DE LA '!N17</f>
        <v>0</v>
      </c>
      <c r="M221" s="19">
        <f ca="1">'1ER PERIODO CONSTRUCCION DE LA '!O17</f>
        <v>2</v>
      </c>
      <c r="N221" s="19">
        <f ca="1">'1ER PERIODO CONSTRUCCION DE LA '!P17</f>
        <v>1</v>
      </c>
      <c r="O221" s="19">
        <f ca="1">'1ER PERIODO CONSTRUCCION DE LA '!Q17</f>
        <v>1</v>
      </c>
      <c r="P221" s="19">
        <f ca="1">'1ER PERIODO CONSTRUCCION DE LA '!R17</f>
        <v>0</v>
      </c>
      <c r="Q221" s="21">
        <f ca="1">'1ER PERIODO CONSTRUCCION DE LA '!S17</f>
        <v>20</v>
      </c>
    </row>
    <row r="222" spans="1:17" ht="39.75" customHeight="1" thickTop="1" thickBot="1">
      <c r="A222" s="53"/>
      <c r="B222" s="51"/>
      <c r="C222" s="22" t="s">
        <v>273</v>
      </c>
      <c r="D222" s="18">
        <f ca="1">'1ER PERIODO CONSTRUCCION DE LA '!F18</f>
        <v>4178.2608695652098</v>
      </c>
      <c r="E222" s="19">
        <f ca="1">'1ER PERIODO CONSTRUCCION DE LA '!G18</f>
        <v>662</v>
      </c>
      <c r="F222" s="19">
        <f ca="1">'1ER PERIODO CONSTRUCCION DE LA '!H18</f>
        <v>92</v>
      </c>
      <c r="G222" s="19">
        <f ca="1">'1ER PERIODO CONSTRUCCION DE LA '!I18</f>
        <v>0</v>
      </c>
      <c r="H222" s="19">
        <f ca="1">'1ER PERIODO CONSTRUCCION DE LA '!J18</f>
        <v>171</v>
      </c>
      <c r="I222" s="19">
        <f ca="1">'1ER PERIODO CONSTRUCCION DE LA '!K18</f>
        <v>167</v>
      </c>
      <c r="J222" s="19">
        <f ca="1">'1ER PERIODO CONSTRUCCION DE LA '!L18</f>
        <v>386</v>
      </c>
      <c r="K222" s="19">
        <f ca="1">'1ER PERIODO CONSTRUCCION DE LA '!M18</f>
        <v>662</v>
      </c>
      <c r="L222" s="19">
        <f ca="1">'1ER PERIODO CONSTRUCCION DE LA '!N18</f>
        <v>92</v>
      </c>
      <c r="M222" s="19">
        <f ca="1">'1ER PERIODO CONSTRUCCION DE LA '!O18</f>
        <v>221</v>
      </c>
      <c r="N222" s="19">
        <f ca="1">'1ER PERIODO CONSTRUCCION DE LA '!P18</f>
        <v>269</v>
      </c>
      <c r="O222" s="19">
        <f ca="1">'1ER PERIODO CONSTRUCCION DE LA '!Q18</f>
        <v>381</v>
      </c>
      <c r="P222" s="19">
        <f ca="1">'1ER PERIODO CONSTRUCCION DE LA '!R18</f>
        <v>741</v>
      </c>
      <c r="Q222" s="21">
        <f ca="1">'1ER PERIODO CONSTRUCCION DE LA '!S18</f>
        <v>3844</v>
      </c>
    </row>
    <row r="223" spans="1:17" ht="39.75" customHeight="1" thickTop="1" thickBot="1">
      <c r="A223" s="53"/>
      <c r="B223" s="50" t="s">
        <v>274</v>
      </c>
      <c r="C223" s="22" t="s">
        <v>38</v>
      </c>
      <c r="D223" s="18">
        <f ca="1">'1ER PERIODO CONSTRUCCION DE LA '!F19</f>
        <v>29.1666666666666</v>
      </c>
      <c r="E223" s="19">
        <f ca="1">'1ER PERIODO CONSTRUCCION DE LA '!G19</f>
        <v>0</v>
      </c>
      <c r="F223" s="19">
        <f ca="1">'1ER PERIODO CONSTRUCCION DE LA '!H19</f>
        <v>2</v>
      </c>
      <c r="G223" s="19">
        <f ca="1">'1ER PERIODO CONSTRUCCION DE LA '!I19</f>
        <v>1</v>
      </c>
      <c r="H223" s="19">
        <f ca="1">'1ER PERIODO CONSTRUCCION DE LA '!J19</f>
        <v>2</v>
      </c>
      <c r="I223" s="19">
        <f ca="1">'1ER PERIODO CONSTRUCCION DE LA '!K19</f>
        <v>4</v>
      </c>
      <c r="J223" s="19">
        <f ca="1">'1ER PERIODO CONSTRUCCION DE LA '!L19</f>
        <v>2</v>
      </c>
      <c r="K223" s="19">
        <f ca="1">'1ER PERIODO CONSTRUCCION DE LA '!M19</f>
        <v>1</v>
      </c>
      <c r="L223" s="19">
        <f ca="1">'1ER PERIODO CONSTRUCCION DE LA '!N19</f>
        <v>2</v>
      </c>
      <c r="M223" s="19">
        <f ca="1">'1ER PERIODO CONSTRUCCION DE LA '!O19</f>
        <v>0</v>
      </c>
      <c r="N223" s="19">
        <f ca="1">'1ER PERIODO CONSTRUCCION DE LA '!P19</f>
        <v>0</v>
      </c>
      <c r="O223" s="19">
        <f ca="1">'1ER PERIODO CONSTRUCCION DE LA '!Q19</f>
        <v>0</v>
      </c>
      <c r="P223" s="19">
        <f ca="1">'1ER PERIODO CONSTRUCCION DE LA '!R19</f>
        <v>0</v>
      </c>
      <c r="Q223" s="21">
        <f ca="1">'1ER PERIODO CONSTRUCCION DE LA '!S19</f>
        <v>14</v>
      </c>
    </row>
    <row r="224" spans="1:17" ht="39.75" customHeight="1" thickTop="1" thickBot="1">
      <c r="A224" s="53"/>
      <c r="B224" s="51"/>
      <c r="C224" s="22" t="s">
        <v>37</v>
      </c>
      <c r="D224" s="18">
        <f ca="1">'1ER PERIODO CONSTRUCCION DE LA '!F20</f>
        <v>132.18707015130599</v>
      </c>
      <c r="E224" s="19">
        <f ca="1">'1ER PERIODO CONSTRUCCION DE LA '!G20</f>
        <v>662</v>
      </c>
      <c r="F224" s="19">
        <f ca="1">'1ER PERIODO CONSTRUCCION DE LA '!H20</f>
        <v>92</v>
      </c>
      <c r="G224" s="19">
        <f ca="1">'1ER PERIODO CONSTRUCCION DE LA '!I20</f>
        <v>0</v>
      </c>
      <c r="H224" s="19">
        <f ca="1">'1ER PERIODO CONSTRUCCION DE LA '!J20</f>
        <v>171</v>
      </c>
      <c r="I224" s="19">
        <f ca="1">'1ER PERIODO CONSTRUCCION DE LA '!K20</f>
        <v>167</v>
      </c>
      <c r="J224" s="19">
        <f ca="1">'1ER PERIODO CONSTRUCCION DE LA '!L20</f>
        <v>386</v>
      </c>
      <c r="K224" s="19">
        <f ca="1">'1ER PERIODO CONSTRUCCION DE LA '!M20</f>
        <v>662</v>
      </c>
      <c r="L224" s="19">
        <f ca="1">'1ER PERIODO CONSTRUCCION DE LA '!N20</f>
        <v>92</v>
      </c>
      <c r="M224" s="19">
        <f ca="1">'1ER PERIODO CONSTRUCCION DE LA '!O20</f>
        <v>221</v>
      </c>
      <c r="N224" s="19">
        <f ca="1">'1ER PERIODO CONSTRUCCION DE LA '!P20</f>
        <v>269</v>
      </c>
      <c r="O224" s="19">
        <f ca="1">'1ER PERIODO CONSTRUCCION DE LA '!Q20</f>
        <v>381</v>
      </c>
      <c r="P224" s="19">
        <f ca="1">'1ER PERIODO CONSTRUCCION DE LA '!R20</f>
        <v>741</v>
      </c>
      <c r="Q224" s="21">
        <f ca="1">'1ER PERIODO CONSTRUCCION DE LA '!S20</f>
        <v>3844</v>
      </c>
    </row>
    <row r="225" spans="1:17" ht="39.75" customHeight="1" thickTop="1" thickBot="1">
      <c r="A225" s="53"/>
      <c r="B225" s="50" t="s">
        <v>275</v>
      </c>
      <c r="C225" s="22" t="s">
        <v>37</v>
      </c>
      <c r="D225" s="18">
        <f ca="1">'1ER PERIODO CONSTRUCCION DE LA '!F21</f>
        <v>1400</v>
      </c>
      <c r="E225" s="19">
        <f ca="1">'1ER PERIODO CONSTRUCCION DE LA '!G21</f>
        <v>0</v>
      </c>
      <c r="F225" s="19">
        <f ca="1">'1ER PERIODO CONSTRUCCION DE LA '!H21</f>
        <v>2</v>
      </c>
      <c r="G225" s="19">
        <f ca="1">'1ER PERIODO CONSTRUCCION DE LA '!I21</f>
        <v>1</v>
      </c>
      <c r="H225" s="19">
        <f ca="1">'1ER PERIODO CONSTRUCCION DE LA '!J21</f>
        <v>2</v>
      </c>
      <c r="I225" s="19">
        <f ca="1">'1ER PERIODO CONSTRUCCION DE LA '!K21</f>
        <v>4</v>
      </c>
      <c r="J225" s="19">
        <f ca="1">'1ER PERIODO CONSTRUCCION DE LA '!L21</f>
        <v>2</v>
      </c>
      <c r="K225" s="19">
        <f ca="1">'1ER PERIODO CONSTRUCCION DE LA '!M21</f>
        <v>1</v>
      </c>
      <c r="L225" s="19">
        <f ca="1">'1ER PERIODO CONSTRUCCION DE LA '!N21</f>
        <v>2</v>
      </c>
      <c r="M225" s="19">
        <f ca="1">'1ER PERIODO CONSTRUCCION DE LA '!O21</f>
        <v>0</v>
      </c>
      <c r="N225" s="19">
        <f ca="1">'1ER PERIODO CONSTRUCCION DE LA '!P21</f>
        <v>0</v>
      </c>
      <c r="O225" s="19">
        <f ca="1">'1ER PERIODO CONSTRUCCION DE LA '!Q21</f>
        <v>0</v>
      </c>
      <c r="P225" s="19">
        <f ca="1">'1ER PERIODO CONSTRUCCION DE LA '!R21</f>
        <v>0</v>
      </c>
      <c r="Q225" s="21">
        <f ca="1">'1ER PERIODO CONSTRUCCION DE LA '!S21</f>
        <v>14</v>
      </c>
    </row>
    <row r="226" spans="1:17" ht="39.75" customHeight="1" thickTop="1" thickBot="1">
      <c r="A226" s="53"/>
      <c r="B226" s="51"/>
      <c r="C226" s="22" t="s">
        <v>38</v>
      </c>
      <c r="D226" s="18">
        <f ca="1">'1ER PERIODO CONSTRUCCION DE LA '!F22</f>
        <v>99000</v>
      </c>
      <c r="E226" s="19">
        <f ca="1">'1ER PERIODO CONSTRUCCION DE LA '!G22</f>
        <v>0</v>
      </c>
      <c r="F226" s="19">
        <f ca="1">'1ER PERIODO CONSTRUCCION DE LA '!H22</f>
        <v>208</v>
      </c>
      <c r="G226" s="19">
        <f ca="1">'1ER PERIODO CONSTRUCCION DE LA '!I22</f>
        <v>22</v>
      </c>
      <c r="H226" s="19">
        <f ca="1">'1ER PERIODO CONSTRUCCION DE LA '!J22</f>
        <v>100</v>
      </c>
      <c r="I226" s="19">
        <f ca="1">'1ER PERIODO CONSTRUCCION DE LA '!K22</f>
        <v>300</v>
      </c>
      <c r="J226" s="19">
        <f ca="1">'1ER PERIODO CONSTRUCCION DE LA '!L22</f>
        <v>50</v>
      </c>
      <c r="K226" s="19">
        <f ca="1">'1ER PERIODO CONSTRUCCION DE LA '!M22</f>
        <v>22</v>
      </c>
      <c r="L226" s="19">
        <f ca="1">'1ER PERIODO CONSTRUCCION DE LA '!N22</f>
        <v>208</v>
      </c>
      <c r="M226" s="19">
        <f ca="1">'1ER PERIODO CONSTRUCCION DE LA '!O22</f>
        <v>0</v>
      </c>
      <c r="N226" s="19">
        <f ca="1">'1ER PERIODO CONSTRUCCION DE LA '!P22</f>
        <v>15</v>
      </c>
      <c r="O226" s="19">
        <f ca="1">'1ER PERIODO CONSTRUCCION DE LA '!Q22</f>
        <v>10</v>
      </c>
      <c r="P226" s="19">
        <f ca="1">'1ER PERIODO CONSTRUCCION DE LA '!R22</f>
        <v>55</v>
      </c>
      <c r="Q226" s="21">
        <f ca="1">'1ER PERIODO CONSTRUCCION DE LA '!S22</f>
        <v>990</v>
      </c>
    </row>
    <row r="227" spans="1:17" ht="39.75" customHeight="1" thickTop="1" thickBot="1">
      <c r="A227" s="53"/>
      <c r="B227" s="50" t="s">
        <v>276</v>
      </c>
      <c r="C227" s="22" t="s">
        <v>260</v>
      </c>
      <c r="D227" s="18">
        <f ca="1">'1ER PERIODO CONSTRUCCION DE LA '!F23</f>
        <v>100</v>
      </c>
      <c r="E227" s="19">
        <f ca="1">'1ER PERIODO CONSTRUCCION DE LA '!G23</f>
        <v>4</v>
      </c>
      <c r="F227" s="19">
        <f ca="1">'1ER PERIODO CONSTRUCCION DE LA '!H23</f>
        <v>3</v>
      </c>
      <c r="G227" s="19">
        <f ca="1">'1ER PERIODO CONSTRUCCION DE LA '!I23</f>
        <v>0</v>
      </c>
      <c r="H227" s="19">
        <f ca="1">'1ER PERIODO CONSTRUCCION DE LA '!J23</f>
        <v>2</v>
      </c>
      <c r="I227" s="19">
        <f ca="1">'1ER PERIODO CONSTRUCCION DE LA '!K23</f>
        <v>1</v>
      </c>
      <c r="J227" s="19">
        <f ca="1">'1ER PERIODO CONSTRUCCION DE LA '!L23</f>
        <v>4</v>
      </c>
      <c r="K227" s="19">
        <f ca="1">'1ER PERIODO CONSTRUCCION DE LA '!M23</f>
        <v>4</v>
      </c>
      <c r="L227" s="19">
        <f ca="1">'1ER PERIODO CONSTRUCCION DE LA '!N23</f>
        <v>3</v>
      </c>
      <c r="M227" s="19">
        <f ca="1">'1ER PERIODO CONSTRUCCION DE LA '!O23</f>
        <v>4</v>
      </c>
      <c r="N227" s="19">
        <f ca="1">'1ER PERIODO CONSTRUCCION DE LA '!P23</f>
        <v>1</v>
      </c>
      <c r="O227" s="19">
        <f ca="1">'1ER PERIODO CONSTRUCCION DE LA '!Q23</f>
        <v>1</v>
      </c>
      <c r="P227" s="19">
        <f ca="1">'1ER PERIODO CONSTRUCCION DE LA '!R23</f>
        <v>1</v>
      </c>
      <c r="Q227" s="21">
        <f ca="1">'1ER PERIODO CONSTRUCCION DE LA '!S23</f>
        <v>28</v>
      </c>
    </row>
    <row r="228" spans="1:17" ht="39.75" customHeight="1" thickTop="1" thickBot="1">
      <c r="A228" s="53"/>
      <c r="B228" s="51"/>
      <c r="C228" s="22" t="s">
        <v>38</v>
      </c>
      <c r="D228" s="18">
        <f ca="1">'1ER PERIODO CONSTRUCCION DE LA '!F24</f>
        <v>68.564356435643504</v>
      </c>
      <c r="E228" s="19">
        <f ca="1">'1ER PERIODO CONSTRUCCION DE LA '!G24</f>
        <v>165</v>
      </c>
      <c r="F228" s="19">
        <f ca="1">'1ER PERIODO CONSTRUCCION DE LA '!H24</f>
        <v>165</v>
      </c>
      <c r="G228" s="19">
        <f ca="1">'1ER PERIODO CONSTRUCCION DE LA '!I24</f>
        <v>360</v>
      </c>
      <c r="H228" s="19">
        <f ca="1">'1ER PERIODO CONSTRUCCION DE LA '!J24</f>
        <v>300</v>
      </c>
      <c r="I228" s="19">
        <f ca="1">'1ER PERIODO CONSTRUCCION DE LA '!K24</f>
        <v>60</v>
      </c>
      <c r="J228" s="19">
        <f ca="1">'1ER PERIODO CONSTRUCCION DE LA '!L24</f>
        <v>650</v>
      </c>
      <c r="K228" s="19">
        <f ca="1">'1ER PERIODO CONSTRUCCION DE LA '!M24</f>
        <v>165</v>
      </c>
      <c r="L228" s="19">
        <f ca="1">'1ER PERIODO CONSTRUCCION DE LA '!N24</f>
        <v>165</v>
      </c>
      <c r="M228" s="19">
        <f ca="1">'1ER PERIODO CONSTRUCCION DE LA '!O24</f>
        <v>360</v>
      </c>
      <c r="N228" s="19">
        <f ca="1">'1ER PERIODO CONSTRUCCION DE LA '!P24</f>
        <v>200</v>
      </c>
      <c r="O228" s="19">
        <f ca="1">'1ER PERIODO CONSTRUCCION DE LA '!Q24</f>
        <v>100</v>
      </c>
      <c r="P228" s="19">
        <f ca="1">'1ER PERIODO CONSTRUCCION DE LA '!R24</f>
        <v>80</v>
      </c>
      <c r="Q228" s="21">
        <f ca="1">'1ER PERIODO CONSTRUCCION DE LA '!S24</f>
        <v>2770</v>
      </c>
    </row>
    <row r="229" spans="1:17" ht="39.75" customHeight="1" thickTop="1" thickBot="1">
      <c r="A229" s="53"/>
      <c r="B229" s="50" t="s">
        <v>277</v>
      </c>
      <c r="C229" s="22" t="s">
        <v>278</v>
      </c>
      <c r="D229" s="18">
        <f ca="1">'1ER PERIODO CONSTRUCCION DE LA '!F25</f>
        <v>556.25</v>
      </c>
      <c r="E229" s="19">
        <f ca="1">'1ER PERIODO CONSTRUCCION DE LA '!G25</f>
        <v>12.5</v>
      </c>
      <c r="F229" s="19">
        <f ca="1">'1ER PERIODO CONSTRUCCION DE LA '!H25</f>
        <v>65</v>
      </c>
      <c r="G229" s="19">
        <f ca="1">'1ER PERIODO CONSTRUCCION DE LA '!I25</f>
        <v>40</v>
      </c>
      <c r="H229" s="19">
        <f ca="1">'1ER PERIODO CONSTRUCCION DE LA '!J25</f>
        <v>2</v>
      </c>
      <c r="I229" s="19">
        <f ca="1">'1ER PERIODO CONSTRUCCION DE LA '!K25</f>
        <v>3</v>
      </c>
      <c r="J229" s="19">
        <f ca="1">'1ER PERIODO CONSTRUCCION DE LA '!L25</f>
        <v>2</v>
      </c>
      <c r="K229" s="19">
        <f ca="1">'1ER PERIODO CONSTRUCCION DE LA '!M25</f>
        <v>2</v>
      </c>
      <c r="L229" s="19">
        <f ca="1">'1ER PERIODO CONSTRUCCION DE LA '!N25</f>
        <v>3</v>
      </c>
      <c r="M229" s="19">
        <f ca="1">'1ER PERIODO CONSTRUCCION DE LA '!O25</f>
        <v>3</v>
      </c>
      <c r="N229" s="19">
        <f ca="1">'1ER PERIODO CONSTRUCCION DE LA '!P25</f>
        <v>1</v>
      </c>
      <c r="O229" s="19">
        <f ca="1">'1ER PERIODO CONSTRUCCION DE LA '!Q25</f>
        <v>0</v>
      </c>
      <c r="P229" s="19">
        <f ca="1">'1ER PERIODO CONSTRUCCION DE LA '!R25</f>
        <v>0</v>
      </c>
      <c r="Q229" s="21">
        <f ca="1">'1ER PERIODO CONSTRUCCION DE LA '!S25</f>
        <v>133.5</v>
      </c>
    </row>
    <row r="230" spans="1:17" ht="39.75" customHeight="1" thickTop="1" thickBot="1">
      <c r="A230" s="53"/>
      <c r="B230" s="51"/>
      <c r="C230" s="22" t="s">
        <v>279</v>
      </c>
      <c r="D230" s="18">
        <f ca="1">'1ER PERIODO CONSTRUCCION DE LA '!F26</f>
        <v>66.6666666666666</v>
      </c>
      <c r="E230" s="19">
        <f ca="1">'1ER PERIODO CONSTRUCCION DE LA '!G26</f>
        <v>1</v>
      </c>
      <c r="F230" s="19">
        <f ca="1">'1ER PERIODO CONSTRUCCION DE LA '!H26</f>
        <v>3</v>
      </c>
      <c r="G230" s="19">
        <f ca="1">'1ER PERIODO CONSTRUCCION DE LA '!I26</f>
        <v>0</v>
      </c>
      <c r="H230" s="19">
        <f ca="1">'1ER PERIODO CONSTRUCCION DE LA '!J26</f>
        <v>1</v>
      </c>
      <c r="I230" s="19">
        <f ca="1">'1ER PERIODO CONSTRUCCION DE LA '!K26</f>
        <v>2</v>
      </c>
      <c r="J230" s="19">
        <f ca="1">'1ER PERIODO CONSTRUCCION DE LA '!L26</f>
        <v>2</v>
      </c>
      <c r="K230" s="19">
        <f ca="1">'1ER PERIODO CONSTRUCCION DE LA '!M26</f>
        <v>1</v>
      </c>
      <c r="L230" s="19">
        <f ca="1">'1ER PERIODO CONSTRUCCION DE LA '!N26</f>
        <v>3</v>
      </c>
      <c r="M230" s="19">
        <f ca="1">'1ER PERIODO CONSTRUCCION DE LA '!O26</f>
        <v>2</v>
      </c>
      <c r="N230" s="19">
        <f ca="1">'1ER PERIODO CONSTRUCCION DE LA '!P26</f>
        <v>1</v>
      </c>
      <c r="O230" s="19">
        <f ca="1">'1ER PERIODO CONSTRUCCION DE LA '!Q26</f>
        <v>0</v>
      </c>
      <c r="P230" s="19">
        <f ca="1">'1ER PERIODO CONSTRUCCION DE LA '!R26</f>
        <v>0</v>
      </c>
      <c r="Q230" s="21">
        <f ca="1">'1ER PERIODO CONSTRUCCION DE LA '!S26</f>
        <v>16</v>
      </c>
    </row>
    <row r="231" spans="1:17" ht="39.75" customHeight="1" thickTop="1" thickBot="1">
      <c r="A231" s="53"/>
      <c r="B231" s="50" t="s">
        <v>280</v>
      </c>
      <c r="C231" s="22" t="s">
        <v>281</v>
      </c>
      <c r="D231" s="18">
        <f ca="1">'1ER PERIODO CONSTRUCCION DE LA '!F27</f>
        <v>1186.95652173913</v>
      </c>
      <c r="E231" s="19">
        <f ca="1">'1ER PERIODO CONSTRUCCION DE LA '!G27</f>
        <v>24</v>
      </c>
      <c r="F231" s="19">
        <f ca="1">'1ER PERIODO CONSTRUCCION DE LA '!H27</f>
        <v>23</v>
      </c>
      <c r="G231" s="19">
        <f ca="1">'1ER PERIODO CONSTRUCCION DE LA '!I27</f>
        <v>24</v>
      </c>
      <c r="H231" s="19">
        <f ca="1">'1ER PERIODO CONSTRUCCION DE LA '!J27</f>
        <v>19</v>
      </c>
      <c r="I231" s="19">
        <f ca="1">'1ER PERIODO CONSTRUCCION DE LA '!K27</f>
        <v>23</v>
      </c>
      <c r="J231" s="19">
        <f ca="1">'1ER PERIODO CONSTRUCCION DE LA '!L27</f>
        <v>23</v>
      </c>
      <c r="K231" s="19">
        <f ca="1">'1ER PERIODO CONSTRUCCION DE LA '!M27</f>
        <v>24</v>
      </c>
      <c r="L231" s="19">
        <f ca="1">'1ER PERIODO CONSTRUCCION DE LA '!N27</f>
        <v>23</v>
      </c>
      <c r="M231" s="19">
        <f ca="1">'1ER PERIODO CONSTRUCCION DE LA '!O27</f>
        <v>24</v>
      </c>
      <c r="N231" s="19">
        <f ca="1">'1ER PERIODO CONSTRUCCION DE LA '!P27</f>
        <v>24</v>
      </c>
      <c r="O231" s="19">
        <f ca="1">'1ER PERIODO CONSTRUCCION DE LA '!Q27</f>
        <v>23</v>
      </c>
      <c r="P231" s="19">
        <f ca="1">'1ER PERIODO CONSTRUCCION DE LA '!R27</f>
        <v>19</v>
      </c>
      <c r="Q231" s="21">
        <f ca="1">'1ER PERIODO CONSTRUCCION DE LA '!S27</f>
        <v>273</v>
      </c>
    </row>
    <row r="232" spans="1:17" ht="39.75" customHeight="1" thickTop="1" thickBot="1">
      <c r="A232" s="53"/>
      <c r="B232" s="51"/>
      <c r="C232" s="22" t="s">
        <v>38</v>
      </c>
      <c r="D232" s="18">
        <f ca="1">'1ER PERIODO CONSTRUCCION DE LA '!F28</f>
        <v>101.948356807511</v>
      </c>
      <c r="E232" s="19">
        <f ca="1">'1ER PERIODO CONSTRUCCION DE LA '!G28</f>
        <v>380</v>
      </c>
      <c r="F232" s="19">
        <f ca="1">'1ER PERIODO CONSTRUCCION DE LA '!H28</f>
        <v>369</v>
      </c>
      <c r="G232" s="19">
        <f ca="1">'1ER PERIODO CONSTRUCCION DE LA '!I28</f>
        <v>363</v>
      </c>
      <c r="H232" s="19">
        <f ca="1">'1ER PERIODO CONSTRUCCION DE LA '!J28</f>
        <v>327</v>
      </c>
      <c r="I232" s="19">
        <f ca="1">'1ER PERIODO CONSTRUCCION DE LA '!K28</f>
        <v>371</v>
      </c>
      <c r="J232" s="19">
        <f ca="1">'1ER PERIODO CONSTRUCCION DE LA '!L28</f>
        <v>367</v>
      </c>
      <c r="K232" s="19">
        <f ca="1">'1ER PERIODO CONSTRUCCION DE LA '!M28</f>
        <v>380</v>
      </c>
      <c r="L232" s="19">
        <f ca="1">'1ER PERIODO CONSTRUCCION DE LA '!N28</f>
        <v>369</v>
      </c>
      <c r="M232" s="19">
        <f ca="1">'1ER PERIODO CONSTRUCCION DE LA '!O28</f>
        <v>363</v>
      </c>
      <c r="N232" s="19">
        <f ca="1">'1ER PERIODO CONSTRUCCION DE LA '!P28</f>
        <v>365</v>
      </c>
      <c r="O232" s="19">
        <f ca="1">'1ER PERIODO CONSTRUCCION DE LA '!Q28</f>
        <v>329</v>
      </c>
      <c r="P232" s="19">
        <f ca="1">'1ER PERIODO CONSTRUCCION DE LA '!R28</f>
        <v>360</v>
      </c>
      <c r="Q232" s="21">
        <f ca="1">'1ER PERIODO CONSTRUCCION DE LA '!S28</f>
        <v>4343</v>
      </c>
    </row>
    <row r="233" spans="1:17" ht="39.75" customHeight="1" thickTop="1" thickBot="1">
      <c r="A233" s="53"/>
      <c r="B233" s="50" t="s">
        <v>282</v>
      </c>
      <c r="C233" s="22" t="s">
        <v>281</v>
      </c>
      <c r="D233" s="18">
        <f ca="1">'1ER PERIODO CONSTRUCCION DE LA '!F29</f>
        <v>1010</v>
      </c>
      <c r="E233" s="19">
        <f ca="1">'1ER PERIODO CONSTRUCCION DE LA '!G29</f>
        <v>7</v>
      </c>
      <c r="F233" s="19">
        <f ca="1">'1ER PERIODO CONSTRUCCION DE LA '!H29</f>
        <v>7</v>
      </c>
      <c r="G233" s="19">
        <f ca="1">'1ER PERIODO CONSTRUCCION DE LA '!I29</f>
        <v>0</v>
      </c>
      <c r="H233" s="19">
        <f ca="1">'1ER PERIODO CONSTRUCCION DE LA '!J29</f>
        <v>10</v>
      </c>
      <c r="I233" s="19">
        <f ca="1">'1ER PERIODO CONSTRUCCION DE LA '!K29</f>
        <v>10</v>
      </c>
      <c r="J233" s="19">
        <f ca="1">'1ER PERIODO CONSTRUCCION DE LA '!L29</f>
        <v>10</v>
      </c>
      <c r="K233" s="19">
        <f ca="1">'1ER PERIODO CONSTRUCCION DE LA '!M29</f>
        <v>7</v>
      </c>
      <c r="L233" s="19">
        <f ca="1">'1ER PERIODO CONSTRUCCION DE LA '!N29</f>
        <v>7</v>
      </c>
      <c r="M233" s="19">
        <f ca="1">'1ER PERIODO CONSTRUCCION DE LA '!O29</f>
        <v>8</v>
      </c>
      <c r="N233" s="19">
        <f ca="1">'1ER PERIODO CONSTRUCCION DE LA '!P29</f>
        <v>11</v>
      </c>
      <c r="O233" s="19">
        <f ca="1">'1ER PERIODO CONSTRUCCION DE LA '!Q29</f>
        <v>12</v>
      </c>
      <c r="P233" s="19">
        <f ca="1">'1ER PERIODO CONSTRUCCION DE LA '!R29</f>
        <v>12</v>
      </c>
      <c r="Q233" s="21">
        <f ca="1">'1ER PERIODO CONSTRUCCION DE LA '!S29</f>
        <v>101</v>
      </c>
    </row>
    <row r="234" spans="1:17" ht="39.75" customHeight="1" thickTop="1" thickBot="1">
      <c r="A234" s="51"/>
      <c r="B234" s="51"/>
      <c r="C234" s="22" t="s">
        <v>38</v>
      </c>
      <c r="D234" s="18">
        <f ca="1">'1ER PERIODO CONSTRUCCION DE LA '!F30</f>
        <v>133.45679012345599</v>
      </c>
      <c r="E234" s="19">
        <f ca="1">'1ER PERIODO CONSTRUCCION DE LA '!G30</f>
        <v>154</v>
      </c>
      <c r="F234" s="19">
        <f ca="1">'1ER PERIODO CONSTRUCCION DE LA '!H30</f>
        <v>191</v>
      </c>
      <c r="G234" s="19">
        <f ca="1">'1ER PERIODO CONSTRUCCION DE LA '!I30</f>
        <v>149</v>
      </c>
      <c r="H234" s="19">
        <f ca="1">'1ER PERIODO CONSTRUCCION DE LA '!J30</f>
        <v>87</v>
      </c>
      <c r="I234" s="19">
        <f ca="1">'1ER PERIODO CONSTRUCCION DE LA '!K30</f>
        <v>151</v>
      </c>
      <c r="J234" s="19">
        <f ca="1">'1ER PERIODO CONSTRUCCION DE LA '!L30</f>
        <v>167</v>
      </c>
      <c r="K234" s="19">
        <f ca="1">'1ER PERIODO CONSTRUCCION DE LA '!M30</f>
        <v>154</v>
      </c>
      <c r="L234" s="19">
        <f ca="1">'1ER PERIODO CONSTRUCCION DE LA '!N30</f>
        <v>191</v>
      </c>
      <c r="M234" s="19">
        <f ca="1">'1ER PERIODO CONSTRUCCION DE LA '!O30</f>
        <v>149</v>
      </c>
      <c r="N234" s="19">
        <f ca="1">'1ER PERIODO CONSTRUCCION DE LA '!P30</f>
        <v>234</v>
      </c>
      <c r="O234" s="19">
        <f ca="1">'1ER PERIODO CONSTRUCCION DE LA '!Q30</f>
        <v>265</v>
      </c>
      <c r="P234" s="19">
        <f ca="1">'1ER PERIODO CONSTRUCCION DE LA '!R30</f>
        <v>270</v>
      </c>
      <c r="Q234" s="21">
        <f ca="1">'1ER PERIODO CONSTRUCCION DE LA '!S30</f>
        <v>2162</v>
      </c>
    </row>
    <row r="235" spans="1:17" ht="39.75" customHeight="1" thickTop="1" thickBot="1">
      <c r="A235" s="52" t="s">
        <v>283</v>
      </c>
      <c r="B235" s="52" t="s">
        <v>284</v>
      </c>
      <c r="C235" s="12" t="str">
        <f ca="1">'1ERA SERVICIOS GENERALES'!A2</f>
        <v>MANTENIMIENTO A INFRAESTRUCTURA DE AGUA POTABLE</v>
      </c>
      <c r="D235" s="18">
        <f ca="1">'1ERA SERVICIOS GENERALES'!F2</f>
        <v>73.0555555555555</v>
      </c>
      <c r="E235" s="19">
        <f ca="1">'1ERA SERVICIOS GENERALES'!G2</f>
        <v>10</v>
      </c>
      <c r="F235" s="19">
        <f ca="1">'1ERA SERVICIOS GENERALES'!H2</f>
        <v>8</v>
      </c>
      <c r="G235" s="19">
        <f ca="1">'1ERA SERVICIOS GENERALES'!I2</f>
        <v>7</v>
      </c>
      <c r="H235" s="19">
        <f ca="1">'1ERA SERVICIOS GENERALES'!J2</f>
        <v>8</v>
      </c>
      <c r="I235" s="19">
        <f ca="1">'1ERA SERVICIOS GENERALES'!K2</f>
        <v>9</v>
      </c>
      <c r="J235" s="19">
        <f ca="1">'1ERA SERVICIOS GENERALES'!L2</f>
        <v>10</v>
      </c>
      <c r="K235" s="19">
        <f ca="1">'1ERA SERVICIOS GENERALES'!M2</f>
        <v>37</v>
      </c>
      <c r="L235" s="19">
        <f ca="1">'1ERA SERVICIOS GENERALES'!N2</f>
        <v>37</v>
      </c>
      <c r="M235" s="19">
        <f ca="1">'1ERA SERVICIOS GENERALES'!O2</f>
        <v>32</v>
      </c>
      <c r="N235" s="19">
        <f ca="1">'1ERA SERVICIOS GENERALES'!P2</f>
        <v>51</v>
      </c>
      <c r="O235" s="19">
        <f ca="1">'1ERA SERVICIOS GENERALES'!Q2</f>
        <v>37</v>
      </c>
      <c r="P235" s="19">
        <f ca="1">'1ERA SERVICIOS GENERALES'!R2</f>
        <v>17</v>
      </c>
      <c r="Q235" s="21">
        <f ca="1">'1ERA SERVICIOS GENERALES'!S2</f>
        <v>263</v>
      </c>
    </row>
    <row r="236" spans="1:17" ht="39.75" customHeight="1" thickTop="1" thickBot="1">
      <c r="A236" s="53"/>
      <c r="B236" s="53"/>
      <c r="C236" s="12" t="str">
        <f ca="1">'1ERA SERVICIOS GENERALES'!A3</f>
        <v>REPORTES FUGAS DE AGUA</v>
      </c>
      <c r="D236" s="18">
        <f ca="1">'1ERA SERVICIOS GENERALES'!F3</f>
        <v>169.5</v>
      </c>
      <c r="E236" s="19">
        <f ca="1">'1ERA SERVICIOS GENERALES'!G3</f>
        <v>250</v>
      </c>
      <c r="F236" s="19">
        <f ca="1">'1ERA SERVICIOS GENERALES'!H3</f>
        <v>285</v>
      </c>
      <c r="G236" s="19">
        <f ca="1">'1ERA SERVICIOS GENERALES'!I3</f>
        <v>198</v>
      </c>
      <c r="H236" s="19">
        <f ca="1">'1ERA SERVICIOS GENERALES'!J3</f>
        <v>71</v>
      </c>
      <c r="I236" s="19">
        <f ca="1">'1ERA SERVICIOS GENERALES'!K3</f>
        <v>70</v>
      </c>
      <c r="J236" s="19">
        <f ca="1">'1ERA SERVICIOS GENERALES'!L3</f>
        <v>0</v>
      </c>
      <c r="K236" s="19">
        <f ca="1">'1ERA SERVICIOS GENERALES'!M3</f>
        <v>70</v>
      </c>
      <c r="L236" s="19">
        <f ca="1">'1ERA SERVICIOS GENERALES'!N3</f>
        <v>71</v>
      </c>
      <c r="M236" s="19">
        <f ca="1">'1ERA SERVICIOS GENERALES'!O3</f>
        <v>74</v>
      </c>
      <c r="N236" s="19">
        <f ca="1">'1ERA SERVICIOS GENERALES'!P3</f>
        <v>127</v>
      </c>
      <c r="O236" s="19">
        <f ca="1">'1ERA SERVICIOS GENERALES'!Q3</f>
        <v>82</v>
      </c>
      <c r="P236" s="19">
        <f ca="1">'1ERA SERVICIOS GENERALES'!R3</f>
        <v>58</v>
      </c>
      <c r="Q236" s="21">
        <f ca="1">'1ERA SERVICIOS GENERALES'!S3</f>
        <v>1356</v>
      </c>
    </row>
    <row r="237" spans="1:17" ht="39.75" customHeight="1" thickTop="1" thickBot="1">
      <c r="A237" s="53"/>
      <c r="B237" s="53"/>
      <c r="C237" s="12" t="str">
        <f ca="1">'1ERA SERVICIOS GENERALES'!A4</f>
        <v>RECONEXIONES TOMAS DE AGUA</v>
      </c>
      <c r="D237" s="18">
        <f ca="1">'1ERA SERVICIOS GENERALES'!F4</f>
        <v>126.666666666666</v>
      </c>
      <c r="E237" s="19">
        <f ca="1">'1ERA SERVICIOS GENERALES'!G4</f>
        <v>20</v>
      </c>
      <c r="F237" s="19">
        <f ca="1">'1ERA SERVICIOS GENERALES'!H4</f>
        <v>30</v>
      </c>
      <c r="G237" s="19">
        <f ca="1">'1ERA SERVICIOS GENERALES'!I4</f>
        <v>0</v>
      </c>
      <c r="H237" s="19">
        <f ca="1">'1ERA SERVICIOS GENERALES'!J4</f>
        <v>5</v>
      </c>
      <c r="I237" s="19">
        <f ca="1">'1ERA SERVICIOS GENERALES'!K4</f>
        <v>3</v>
      </c>
      <c r="J237" s="19">
        <f ca="1">'1ERA SERVICIOS GENERALES'!L4</f>
        <v>0</v>
      </c>
      <c r="K237" s="19">
        <f ca="1">'1ERA SERVICIOS GENERALES'!M4</f>
        <v>1</v>
      </c>
      <c r="L237" s="19">
        <f ca="1">'1ERA SERVICIOS GENERALES'!N4</f>
        <v>4</v>
      </c>
      <c r="M237" s="19">
        <f ca="1">'1ERA SERVICIOS GENERALES'!O4</f>
        <v>6</v>
      </c>
      <c r="N237" s="19">
        <f ca="1">'1ERA SERVICIOS GENERALES'!P4</f>
        <v>3</v>
      </c>
      <c r="O237" s="19">
        <f ca="1">'1ERA SERVICIOS GENERALES'!Q4</f>
        <v>1</v>
      </c>
      <c r="P237" s="19">
        <f ca="1">'1ERA SERVICIOS GENERALES'!R4</f>
        <v>3</v>
      </c>
      <c r="Q237" s="21">
        <f ca="1">'1ERA SERVICIOS GENERALES'!S4</f>
        <v>76</v>
      </c>
    </row>
    <row r="238" spans="1:17" ht="39.75" customHeight="1" thickTop="1" thickBot="1">
      <c r="A238" s="53"/>
      <c r="B238" s="53"/>
      <c r="C238" s="12" t="str">
        <f ca="1">'1ERA SERVICIOS GENERALES'!A5</f>
        <v>SOPLETEAR TOMAS</v>
      </c>
      <c r="D238" s="18">
        <f ca="1">'1ERA SERVICIOS GENERALES'!F5</f>
        <v>107.5</v>
      </c>
      <c r="E238" s="19">
        <f ca="1">'1ERA SERVICIOS GENERALES'!G5</f>
        <v>9</v>
      </c>
      <c r="F238" s="19">
        <f ca="1">'1ERA SERVICIOS GENERALES'!H5</f>
        <v>13</v>
      </c>
      <c r="G238" s="19">
        <f ca="1">'1ERA SERVICIOS GENERALES'!I5</f>
        <v>3</v>
      </c>
      <c r="H238" s="19">
        <f ca="1">'1ERA SERVICIOS GENERALES'!J5</f>
        <v>11</v>
      </c>
      <c r="I238" s="19">
        <f ca="1">'1ERA SERVICIOS GENERALES'!K5</f>
        <v>13</v>
      </c>
      <c r="J238" s="19">
        <f ca="1">'1ERA SERVICIOS GENERALES'!L5</f>
        <v>8</v>
      </c>
      <c r="K238" s="19">
        <f ca="1">'1ERA SERVICIOS GENERALES'!M5</f>
        <v>15</v>
      </c>
      <c r="L238" s="19">
        <f ca="1">'1ERA SERVICIOS GENERALES'!N5</f>
        <v>22</v>
      </c>
      <c r="M238" s="19">
        <f ca="1">'1ERA SERVICIOS GENERALES'!O5</f>
        <v>8</v>
      </c>
      <c r="N238" s="19">
        <f ca="1">'1ERA SERVICIOS GENERALES'!P5</f>
        <v>7</v>
      </c>
      <c r="O238" s="19">
        <f ca="1">'1ERA SERVICIOS GENERALES'!Q5</f>
        <v>4</v>
      </c>
      <c r="P238" s="19">
        <f ca="1">'1ERA SERVICIOS GENERALES'!R5</f>
        <v>16</v>
      </c>
      <c r="Q238" s="21">
        <f ca="1">'1ERA SERVICIOS GENERALES'!S5</f>
        <v>129</v>
      </c>
    </row>
    <row r="239" spans="1:17" ht="39.75" customHeight="1" thickTop="1" thickBot="1">
      <c r="A239" s="53"/>
      <c r="B239" s="53"/>
      <c r="C239" s="12" t="str">
        <f ca="1">'1ERA SERVICIOS GENERALES'!A6</f>
        <v>SUSPENSIÓN DE TOMAS</v>
      </c>
      <c r="D239" s="18">
        <f ca="1">'1ERA SERVICIOS GENERALES'!F6</f>
        <v>137.64705882352899</v>
      </c>
      <c r="E239" s="19">
        <f ca="1">'1ERA SERVICIOS GENERALES'!G6</f>
        <v>18</v>
      </c>
      <c r="F239" s="19">
        <f ca="1">'1ERA SERVICIOS GENERALES'!H6</f>
        <v>10</v>
      </c>
      <c r="G239" s="19">
        <f ca="1">'1ERA SERVICIOS GENERALES'!I6</f>
        <v>9</v>
      </c>
      <c r="H239" s="19">
        <f ca="1">'1ERA SERVICIOS GENERALES'!J6</f>
        <v>15</v>
      </c>
      <c r="I239" s="19">
        <f ca="1">'1ERA SERVICIOS GENERALES'!K6</f>
        <v>2</v>
      </c>
      <c r="J239" s="19">
        <f ca="1">'1ERA SERVICIOS GENERALES'!L6</f>
        <v>8</v>
      </c>
      <c r="K239" s="19">
        <f ca="1">'1ERA SERVICIOS GENERALES'!M6</f>
        <v>8</v>
      </c>
      <c r="L239" s="19">
        <f ca="1">'1ERA SERVICIOS GENERALES'!N6</f>
        <v>7</v>
      </c>
      <c r="M239" s="19">
        <f ca="1">'1ERA SERVICIOS GENERALES'!O6</f>
        <v>11</v>
      </c>
      <c r="N239" s="19">
        <f ca="1">'1ERA SERVICIOS GENERALES'!P6</f>
        <v>11</v>
      </c>
      <c r="O239" s="19">
        <f ca="1">'1ERA SERVICIOS GENERALES'!Q6</f>
        <v>12</v>
      </c>
      <c r="P239" s="19">
        <f ca="1">'1ERA SERVICIOS GENERALES'!R6</f>
        <v>6</v>
      </c>
      <c r="Q239" s="21">
        <f ca="1">'1ERA SERVICIOS GENERALES'!S6</f>
        <v>117</v>
      </c>
    </row>
    <row r="240" spans="1:17" ht="39.75" customHeight="1" thickTop="1" thickBot="1">
      <c r="A240" s="53"/>
      <c r="B240" s="53"/>
      <c r="C240" s="12" t="str">
        <f ca="1">'1ERA SERVICIOS GENERALES'!A7</f>
        <v>REPARACIÓN O DESASOLVE</v>
      </c>
      <c r="D240" s="18">
        <f ca="1">'1ERA SERVICIOS GENERALES'!F7</f>
        <v>113.888888888888</v>
      </c>
      <c r="E240" s="19">
        <f ca="1">'1ERA SERVICIOS GENERALES'!G7</f>
        <v>25</v>
      </c>
      <c r="F240" s="19">
        <f ca="1">'1ERA SERVICIOS GENERALES'!H7</f>
        <v>15</v>
      </c>
      <c r="G240" s="19">
        <f ca="1">'1ERA SERVICIOS GENERALES'!I7</f>
        <v>8</v>
      </c>
      <c r="H240" s="19">
        <f ca="1">'1ERA SERVICIOS GENERALES'!J7</f>
        <v>16</v>
      </c>
      <c r="I240" s="19">
        <f ca="1">'1ERA SERVICIOS GENERALES'!K7</f>
        <v>10</v>
      </c>
      <c r="J240" s="19">
        <f ca="1">'1ERA SERVICIOS GENERALES'!L7</f>
        <v>14</v>
      </c>
      <c r="K240" s="19">
        <f ca="1">'1ERA SERVICIOS GENERALES'!M7</f>
        <v>7</v>
      </c>
      <c r="L240" s="19">
        <f ca="1">'1ERA SERVICIOS GENERALES'!N7</f>
        <v>28</v>
      </c>
      <c r="M240" s="19">
        <f ca="1">'1ERA SERVICIOS GENERALES'!O7</f>
        <v>35</v>
      </c>
      <c r="N240" s="19">
        <f ca="1">'1ERA SERVICIOS GENERALES'!P7</f>
        <v>29</v>
      </c>
      <c r="O240" s="19">
        <f ca="1">'1ERA SERVICIOS GENERALES'!Q7</f>
        <v>12</v>
      </c>
      <c r="P240" s="19">
        <f ca="1">'1ERA SERVICIOS GENERALES'!R7</f>
        <v>6</v>
      </c>
      <c r="Q240" s="21">
        <f ca="1">'1ERA SERVICIOS GENERALES'!S7</f>
        <v>205</v>
      </c>
    </row>
    <row r="241" spans="1:17" ht="39.75" customHeight="1" thickTop="1" thickBot="1">
      <c r="A241" s="53"/>
      <c r="B241" s="53"/>
      <c r="C241" s="12" t="str">
        <f ca="1">'1ERA SERVICIOS GENERALES'!A8</f>
        <v>CAMBIOS DE NOMBRE DE TOMAS DE AGUA POTABLE</v>
      </c>
      <c r="D241" s="18">
        <f ca="1">'1ERA SERVICIOS GENERALES'!F8</f>
        <v>241.666666666666</v>
      </c>
      <c r="E241" s="19">
        <f ca="1">'1ERA SERVICIOS GENERALES'!G8</f>
        <v>35</v>
      </c>
      <c r="F241" s="19">
        <f ca="1">'1ERA SERVICIOS GENERALES'!H8</f>
        <v>45</v>
      </c>
      <c r="G241" s="19">
        <f ca="1">'1ERA SERVICIOS GENERALES'!I8</f>
        <v>25</v>
      </c>
      <c r="H241" s="19">
        <f ca="1">'1ERA SERVICIOS GENERALES'!J8</f>
        <v>14</v>
      </c>
      <c r="I241" s="19">
        <f ca="1">'1ERA SERVICIOS GENERALES'!K8</f>
        <v>15</v>
      </c>
      <c r="J241" s="19">
        <f ca="1">'1ERA SERVICIOS GENERALES'!L8</f>
        <v>4</v>
      </c>
      <c r="K241" s="19">
        <f ca="1">'1ERA SERVICIOS GENERALES'!M8</f>
        <v>10</v>
      </c>
      <c r="L241" s="19">
        <f ca="1">'1ERA SERVICIOS GENERALES'!N8</f>
        <v>4</v>
      </c>
      <c r="M241" s="19">
        <f ca="1">'1ERA SERVICIOS GENERALES'!O8</f>
        <v>6</v>
      </c>
      <c r="N241" s="19">
        <f ca="1">'1ERA SERVICIOS GENERALES'!P8</f>
        <v>6</v>
      </c>
      <c r="O241" s="19">
        <f ca="1">'1ERA SERVICIOS GENERALES'!Q8</f>
        <v>7</v>
      </c>
      <c r="P241" s="19">
        <f ca="1">'1ERA SERVICIOS GENERALES'!R8</f>
        <v>3</v>
      </c>
      <c r="Q241" s="21">
        <f ca="1">'1ERA SERVICIOS GENERALES'!S8</f>
        <v>174</v>
      </c>
    </row>
    <row r="242" spans="1:17" ht="39.75" customHeight="1" thickTop="1" thickBot="1">
      <c r="A242" s="53"/>
      <c r="B242" s="53"/>
      <c r="C242" s="12" t="str">
        <f ca="1">'1ERA SERVICIOS GENERALES'!A9</f>
        <v>NUEVAS TOMAS DE AGUA POTABLE(ZONA URBANA)</v>
      </c>
      <c r="D242" s="18">
        <f ca="1">'1ERA SERVICIOS GENERALES'!F9</f>
        <v>109.583333333333</v>
      </c>
      <c r="E242" s="19">
        <f ca="1">'1ERA SERVICIOS GENERALES'!G9</f>
        <v>20</v>
      </c>
      <c r="F242" s="19">
        <f ca="1">'1ERA SERVICIOS GENERALES'!H9</f>
        <v>25</v>
      </c>
      <c r="G242" s="19">
        <f ca="1">'1ERA SERVICIOS GENERALES'!I9</f>
        <v>15</v>
      </c>
      <c r="H242" s="19">
        <f ca="1">'1ERA SERVICIOS GENERALES'!J9</f>
        <v>23</v>
      </c>
      <c r="I242" s="19">
        <f ca="1">'1ERA SERVICIOS GENERALES'!K9</f>
        <v>34</v>
      </c>
      <c r="J242" s="19">
        <f ca="1">'1ERA SERVICIOS GENERALES'!L9</f>
        <v>30</v>
      </c>
      <c r="K242" s="19">
        <f ca="1">'1ERA SERVICIOS GENERALES'!M9</f>
        <v>18</v>
      </c>
      <c r="L242" s="19">
        <f ca="1">'1ERA SERVICIOS GENERALES'!N9</f>
        <v>21</v>
      </c>
      <c r="M242" s="19">
        <f ca="1">'1ERA SERVICIOS GENERALES'!O9</f>
        <v>15</v>
      </c>
      <c r="N242" s="19">
        <f ca="1">'1ERA SERVICIOS GENERALES'!P9</f>
        <v>18</v>
      </c>
      <c r="O242" s="19">
        <f ca="1">'1ERA SERVICIOS GENERALES'!Q9</f>
        <v>25</v>
      </c>
      <c r="P242" s="19">
        <f ca="1">'1ERA SERVICIOS GENERALES'!R9</f>
        <v>19</v>
      </c>
      <c r="Q242" s="21">
        <f ca="1">'1ERA SERVICIOS GENERALES'!S9</f>
        <v>263</v>
      </c>
    </row>
    <row r="243" spans="1:17" ht="39.75" customHeight="1" thickTop="1" thickBot="1">
      <c r="A243" s="53"/>
      <c r="B243" s="53"/>
      <c r="C243" s="12" t="str">
        <f ca="1">'1ERA SERVICIOS GENERALES'!A10</f>
        <v>CAPTURA DE LECTURAS DE AGUA POTABLE</v>
      </c>
      <c r="D243" s="18">
        <f ca="1">'1ERA SERVICIOS GENERALES'!F10</f>
        <v>103.456547619047</v>
      </c>
      <c r="E243" s="19">
        <f ca="1">'1ERA SERVICIOS GENERALES'!G10</f>
        <v>19301</v>
      </c>
      <c r="F243" s="19">
        <f ca="1">'1ERA SERVICIOS GENERALES'!H10</f>
        <v>19321</v>
      </c>
      <c r="G243" s="19">
        <f ca="1">'1ERA SERVICIOS GENERALES'!I10</f>
        <v>19346</v>
      </c>
      <c r="H243" s="19">
        <f ca="1">'1ERA SERVICIOS GENERALES'!J10</f>
        <v>16390</v>
      </c>
      <c r="I243" s="19">
        <f ca="1">'1ERA SERVICIOS GENERALES'!K10</f>
        <v>16390</v>
      </c>
      <c r="J243" s="19">
        <f ca="1">'1ERA SERVICIOS GENERALES'!L10</f>
        <v>16390</v>
      </c>
      <c r="K243" s="19">
        <f ca="1">'1ERA SERVICIOS GENERALES'!M10</f>
        <v>0</v>
      </c>
      <c r="L243" s="19">
        <f ca="1">'1ERA SERVICIOS GENERALES'!N10</f>
        <v>15800</v>
      </c>
      <c r="M243" s="19">
        <f ca="1">'1ERA SERVICIOS GENERALES'!O10</f>
        <v>5400</v>
      </c>
      <c r="N243" s="19">
        <f ca="1">'1ERA SERVICIOS GENERALES'!P10</f>
        <v>15145</v>
      </c>
      <c r="O243" s="19">
        <f ca="1">'1ERA SERVICIOS GENERALES'!Q10</f>
        <v>15168</v>
      </c>
      <c r="P243" s="19">
        <f ca="1">'1ERA SERVICIOS GENERALES'!R10</f>
        <v>15156</v>
      </c>
      <c r="Q243" s="21">
        <f ca="1">'1ERA SERVICIOS GENERALES'!S10</f>
        <v>173807</v>
      </c>
    </row>
    <row r="244" spans="1:17" ht="39.75" customHeight="1" thickTop="1" thickBot="1">
      <c r="A244" s="53"/>
      <c r="B244" s="53"/>
      <c r="C244" s="12" t="str">
        <f ca="1">'1ERA SERVICIOS GENERALES'!A11</f>
        <v>SOLICITUDES DE PIPAS</v>
      </c>
      <c r="D244" s="18">
        <f ca="1">'1ERA SERVICIOS GENERALES'!F11</f>
        <v>216.458333333333</v>
      </c>
      <c r="E244" s="19">
        <f ca="1">'1ERA SERVICIOS GENERALES'!G11</f>
        <v>372</v>
      </c>
      <c r="F244" s="19">
        <f ca="1">'1ERA SERVICIOS GENERALES'!H11</f>
        <v>333</v>
      </c>
      <c r="G244" s="19">
        <f ca="1">'1ERA SERVICIOS GENERALES'!I11</f>
        <v>0</v>
      </c>
      <c r="H244" s="19">
        <f ca="1">'1ERA SERVICIOS GENERALES'!J11</f>
        <v>62</v>
      </c>
      <c r="I244" s="19">
        <f ca="1">'1ERA SERVICIOS GENERALES'!K11</f>
        <v>43</v>
      </c>
      <c r="J244" s="19">
        <f ca="1">'1ERA SERVICIOS GENERALES'!L11</f>
        <v>67</v>
      </c>
      <c r="K244" s="19">
        <f ca="1">'1ERA SERVICIOS GENERALES'!M11</f>
        <v>42</v>
      </c>
      <c r="L244" s="19">
        <f ca="1">'1ERA SERVICIOS GENERALES'!N11</f>
        <v>46</v>
      </c>
      <c r="M244" s="19">
        <f ca="1">'1ERA SERVICIOS GENERALES'!O11</f>
        <v>21</v>
      </c>
      <c r="N244" s="19">
        <f ca="1">'1ERA SERVICIOS GENERALES'!P11</f>
        <v>22</v>
      </c>
      <c r="O244" s="19">
        <f ca="1">'1ERA SERVICIOS GENERALES'!Q11</f>
        <v>14</v>
      </c>
      <c r="P244" s="19">
        <f ca="1">'1ERA SERVICIOS GENERALES'!R11</f>
        <v>17</v>
      </c>
      <c r="Q244" s="21">
        <f ca="1">'1ERA SERVICIOS GENERALES'!S11</f>
        <v>1039</v>
      </c>
    </row>
    <row r="245" spans="1:17" ht="39.75" customHeight="1" thickTop="1" thickBot="1">
      <c r="A245" s="53"/>
      <c r="B245" s="53"/>
      <c r="C245" s="12" t="str">
        <f ca="1">'1ERA SERVICIOS GENERALES'!A12</f>
        <v>PIPAS ENTREGADAS</v>
      </c>
      <c r="D245" s="18">
        <f ca="1">'1ERA SERVICIOS GENERALES'!F12</f>
        <v>228.541666666666</v>
      </c>
      <c r="E245" s="19">
        <f ca="1">'1ERA SERVICIOS GENERALES'!G12</f>
        <v>372</v>
      </c>
      <c r="F245" s="19">
        <f ca="1">'1ERA SERVICIOS GENERALES'!H12</f>
        <v>333</v>
      </c>
      <c r="G245" s="19">
        <f ca="1">'1ERA SERVICIOS GENERALES'!I12</f>
        <v>230</v>
      </c>
      <c r="H245" s="19">
        <f ca="1">'1ERA SERVICIOS GENERALES'!J12</f>
        <v>0</v>
      </c>
      <c r="I245" s="19">
        <f ca="1">'1ERA SERVICIOS GENERALES'!K12</f>
        <v>0</v>
      </c>
      <c r="J245" s="19">
        <f ca="1">'1ERA SERVICIOS GENERALES'!L12</f>
        <v>0</v>
      </c>
      <c r="K245" s="19">
        <f ca="1">'1ERA SERVICIOS GENERALES'!M12</f>
        <v>42</v>
      </c>
      <c r="L245" s="19">
        <f ca="1">'1ERA SERVICIOS GENERALES'!N12</f>
        <v>46</v>
      </c>
      <c r="M245" s="19">
        <f ca="1">'1ERA SERVICIOS GENERALES'!O12</f>
        <v>21</v>
      </c>
      <c r="N245" s="19">
        <f ca="1">'1ERA SERVICIOS GENERALES'!P12</f>
        <v>22</v>
      </c>
      <c r="O245" s="19">
        <f ca="1">'1ERA SERVICIOS GENERALES'!Q12</f>
        <v>14</v>
      </c>
      <c r="P245" s="19">
        <f ca="1">'1ERA SERVICIOS GENERALES'!R12</f>
        <v>17</v>
      </c>
      <c r="Q245" s="21">
        <f ca="1">'1ERA SERVICIOS GENERALES'!S12</f>
        <v>1097</v>
      </c>
    </row>
    <row r="246" spans="1:17" ht="39.75" customHeight="1" thickTop="1" thickBot="1">
      <c r="A246" s="53"/>
      <c r="B246" s="53"/>
      <c r="C246" s="12" t="str">
        <f ca="1">'1ERA SERVICIOS GENERALES'!A13</f>
        <v>CERTIFICADOS DE NO ADEUDO</v>
      </c>
      <c r="D246" s="18">
        <f ca="1">'1ERA SERVICIOS GENERALES'!F13</f>
        <v>156.25</v>
      </c>
      <c r="E246" s="19">
        <f ca="1">'1ERA SERVICIOS GENERALES'!G13</f>
        <v>20</v>
      </c>
      <c r="F246" s="19">
        <f ca="1">'1ERA SERVICIOS GENERALES'!H13</f>
        <v>0</v>
      </c>
      <c r="G246" s="19">
        <f ca="1">'1ERA SERVICIOS GENERALES'!I13</f>
        <v>18</v>
      </c>
      <c r="H246" s="19">
        <f ca="1">'1ERA SERVICIOS GENERALES'!J13</f>
        <v>3</v>
      </c>
      <c r="I246" s="19">
        <f ca="1">'1ERA SERVICIOS GENERALES'!K13</f>
        <v>2</v>
      </c>
      <c r="J246" s="19">
        <f ca="1">'1ERA SERVICIOS GENERALES'!L13</f>
        <v>4</v>
      </c>
      <c r="K246" s="19">
        <f ca="1">'1ERA SERVICIOS GENERALES'!M13</f>
        <v>3</v>
      </c>
      <c r="L246" s="19">
        <f ca="1">'1ERA SERVICIOS GENERALES'!N13</f>
        <v>4</v>
      </c>
      <c r="M246" s="19">
        <f ca="1">'1ERA SERVICIOS GENERALES'!O13</f>
        <v>5</v>
      </c>
      <c r="N246" s="19">
        <f ca="1">'1ERA SERVICIOS GENERALES'!P13</f>
        <v>5</v>
      </c>
      <c r="O246" s="19">
        <f ca="1">'1ERA SERVICIOS GENERALES'!Q13</f>
        <v>11</v>
      </c>
      <c r="P246" s="19">
        <f ca="1">'1ERA SERVICIOS GENERALES'!R13</f>
        <v>0</v>
      </c>
      <c r="Q246" s="21">
        <f ca="1">'1ERA SERVICIOS GENERALES'!S13</f>
        <v>75</v>
      </c>
    </row>
    <row r="247" spans="1:17" ht="39.75" customHeight="1" thickTop="1" thickBot="1">
      <c r="A247" s="53"/>
      <c r="B247" s="53"/>
      <c r="C247" s="12" t="str">
        <f ca="1">'1ERA SERVICIOS GENERALES'!A14</f>
        <v>SOLICITUDES DE VERIFICACIÓN DOMICILIARIA (EFICIENCIA DEL SERVICIO)</v>
      </c>
      <c r="D247" s="18">
        <f ca="1">'1ERA SERVICIOS GENERALES'!F14</f>
        <v>144.444444444444</v>
      </c>
      <c r="E247" s="19">
        <f ca="1">'1ERA SERVICIOS GENERALES'!G14</f>
        <v>10</v>
      </c>
      <c r="F247" s="19">
        <f ca="1">'1ERA SERVICIOS GENERALES'!H14</f>
        <v>8</v>
      </c>
      <c r="G247" s="19">
        <f ca="1">'1ERA SERVICIOS GENERALES'!I14</f>
        <v>5</v>
      </c>
      <c r="H247" s="19">
        <f ca="1">'1ERA SERVICIOS GENERALES'!J14</f>
        <v>31</v>
      </c>
      <c r="I247" s="19">
        <f ca="1">'1ERA SERVICIOS GENERALES'!K14</f>
        <v>13</v>
      </c>
      <c r="J247" s="19">
        <f ca="1">'1ERA SERVICIOS GENERALES'!L14</f>
        <v>19</v>
      </c>
      <c r="K247" s="19">
        <f ca="1">'1ERA SERVICIOS GENERALES'!M14</f>
        <v>13</v>
      </c>
      <c r="L247" s="19">
        <f ca="1">'1ERA SERVICIOS GENERALES'!N14</f>
        <v>18</v>
      </c>
      <c r="M247" s="19">
        <f ca="1">'1ERA SERVICIOS GENERALES'!O14</f>
        <v>23</v>
      </c>
      <c r="N247" s="19">
        <f ca="1">'1ERA SERVICIOS GENERALES'!P14</f>
        <v>37</v>
      </c>
      <c r="O247" s="19">
        <f ca="1">'1ERA SERVICIOS GENERALES'!Q14</f>
        <v>18</v>
      </c>
      <c r="P247" s="19">
        <f ca="1">'1ERA SERVICIOS GENERALES'!R14</f>
        <v>13</v>
      </c>
      <c r="Q247" s="21">
        <f ca="1">'1ERA SERVICIOS GENERALES'!S14</f>
        <v>208</v>
      </c>
    </row>
    <row r="248" spans="1:17" ht="39.75" customHeight="1" thickTop="1" thickBot="1">
      <c r="A248" s="53"/>
      <c r="B248" s="53"/>
      <c r="C248" s="12" t="str">
        <f ca="1">'1ERA SERVICIOS GENERALES'!A15</f>
        <v>INEXISTENCIAS DE TOMAS</v>
      </c>
      <c r="D248" s="18">
        <f ca="1">'1ERA SERVICIOS GENERALES'!F15</f>
        <v>87.037037037036995</v>
      </c>
      <c r="E248" s="19">
        <f ca="1">'1ERA SERVICIOS GENERALES'!G15</f>
        <v>35</v>
      </c>
      <c r="F248" s="19">
        <f ca="1">'1ERA SERVICIOS GENERALES'!H15</f>
        <v>40</v>
      </c>
      <c r="G248" s="19">
        <f ca="1">'1ERA SERVICIOS GENERALES'!I15</f>
        <v>29</v>
      </c>
      <c r="H248" s="19">
        <f ca="1">'1ERA SERVICIOS GENERALES'!J15</f>
        <v>107</v>
      </c>
      <c r="I248" s="19">
        <f ca="1">'1ERA SERVICIOS GENERALES'!K15</f>
        <v>133</v>
      </c>
      <c r="J248" s="19">
        <f ca="1">'1ERA SERVICIOS GENERALES'!L15</f>
        <v>94</v>
      </c>
      <c r="K248" s="19">
        <f ca="1">'1ERA SERVICIOS GENERALES'!M15</f>
        <v>61</v>
      </c>
      <c r="L248" s="19">
        <f ca="1">'1ERA SERVICIOS GENERALES'!N15</f>
        <v>59</v>
      </c>
      <c r="M248" s="19">
        <f ca="1">'1ERA SERVICIOS GENERALES'!O15</f>
        <v>85</v>
      </c>
      <c r="N248" s="19">
        <f ca="1">'1ERA SERVICIOS GENERALES'!P15</f>
        <v>139</v>
      </c>
      <c r="O248" s="19">
        <f ca="1">'1ERA SERVICIOS GENERALES'!Q15</f>
        <v>69</v>
      </c>
      <c r="P248" s="19">
        <f ca="1">'1ERA SERVICIOS GENERALES'!R15</f>
        <v>89</v>
      </c>
      <c r="Q248" s="21">
        <f ca="1">'1ERA SERVICIOS GENERALES'!S15</f>
        <v>940</v>
      </c>
    </row>
    <row r="249" spans="1:17" ht="39.75" customHeight="1" thickTop="1" thickBot="1">
      <c r="A249" s="53"/>
      <c r="B249" s="53"/>
      <c r="C249" s="12" t="str">
        <f ca="1">'1ERA SERVICIOS GENERALES'!A16</f>
        <v>VERIFICACIÓN DE DRENAJE EN FRACCIONAMIENTOS NUEVOS</v>
      </c>
      <c r="D249" s="18">
        <f ca="1">'1ERA SERVICIOS GENERALES'!F16</f>
        <v>108.333333333333</v>
      </c>
      <c r="E249" s="19">
        <f ca="1">'1ERA SERVICIOS GENERALES'!G16</f>
        <v>2</v>
      </c>
      <c r="F249" s="19">
        <f ca="1">'1ERA SERVICIOS GENERALES'!H16</f>
        <v>3</v>
      </c>
      <c r="G249" s="19">
        <f ca="1">'1ERA SERVICIOS GENERALES'!I16</f>
        <v>1</v>
      </c>
      <c r="H249" s="19">
        <f ca="1">'1ERA SERVICIOS GENERALES'!J16</f>
        <v>0</v>
      </c>
      <c r="I249" s="19">
        <f ca="1">'1ERA SERVICIOS GENERALES'!K16</f>
        <v>0</v>
      </c>
      <c r="J249" s="19">
        <f ca="1">'1ERA SERVICIOS GENERALES'!L16</f>
        <v>3</v>
      </c>
      <c r="K249" s="19">
        <f ca="1">'1ERA SERVICIOS GENERALES'!M16</f>
        <v>1</v>
      </c>
      <c r="L249" s="19">
        <f ca="1">'1ERA SERVICIOS GENERALES'!N16</f>
        <v>0</v>
      </c>
      <c r="M249" s="19">
        <f ca="1">'1ERA SERVICIOS GENERALES'!O16</f>
        <v>3</v>
      </c>
      <c r="N249" s="19">
        <f ca="1">'1ERA SERVICIOS GENERALES'!P16</f>
        <v>0</v>
      </c>
      <c r="O249" s="19">
        <f ca="1">'1ERA SERVICIOS GENERALES'!Q16</f>
        <v>0</v>
      </c>
      <c r="P249" s="19">
        <f ca="1">'1ERA SERVICIOS GENERALES'!R16</f>
        <v>0</v>
      </c>
      <c r="Q249" s="21">
        <f ca="1">'1ERA SERVICIOS GENERALES'!S16</f>
        <v>13</v>
      </c>
    </row>
    <row r="250" spans="1:17" ht="39.75" customHeight="1" thickTop="1" thickBot="1">
      <c r="A250" s="53"/>
      <c r="B250" s="53"/>
      <c r="C250" s="12" t="str">
        <f ca="1">'1ERA SERVICIOS GENERALES'!A17</f>
        <v>HABILITACIÓN DE REDES NUEVAS DE AGUA POTABLE</v>
      </c>
      <c r="D250" s="18">
        <f ca="1">'1ERA SERVICIOS GENERALES'!F17</f>
        <v>55.2083333333333</v>
      </c>
      <c r="E250" s="19">
        <f ca="1">'1ERA SERVICIOS GENERALES'!G17</f>
        <v>7</v>
      </c>
      <c r="F250" s="19">
        <f ca="1">'1ERA SERVICIOS GENERALES'!H17</f>
        <v>9</v>
      </c>
      <c r="G250" s="19">
        <f ca="1">'1ERA SERVICIOS GENERALES'!I17</f>
        <v>7</v>
      </c>
      <c r="H250" s="19">
        <f ca="1">'1ERA SERVICIOS GENERALES'!J17</f>
        <v>7</v>
      </c>
      <c r="I250" s="19">
        <f ca="1">'1ERA SERVICIOS GENERALES'!K17</f>
        <v>6</v>
      </c>
      <c r="J250" s="19">
        <f ca="1">'1ERA SERVICIOS GENERALES'!L17</f>
        <v>10</v>
      </c>
      <c r="K250" s="19">
        <f ca="1">'1ERA SERVICIOS GENERALES'!M17</f>
        <v>0</v>
      </c>
      <c r="L250" s="19">
        <f ca="1">'1ERA SERVICIOS GENERALES'!N17</f>
        <v>0</v>
      </c>
      <c r="M250" s="19">
        <f ca="1">'1ERA SERVICIOS GENERALES'!O17</f>
        <v>0</v>
      </c>
      <c r="N250" s="19">
        <f ca="1">'1ERA SERVICIOS GENERALES'!P17</f>
        <v>2</v>
      </c>
      <c r="O250" s="19">
        <f ca="1">'1ERA SERVICIOS GENERALES'!Q17</f>
        <v>3</v>
      </c>
      <c r="P250" s="19">
        <f ca="1">'1ERA SERVICIOS GENERALES'!R17</f>
        <v>2</v>
      </c>
      <c r="Q250" s="21">
        <f ca="1">'1ERA SERVICIOS GENERALES'!S17</f>
        <v>53</v>
      </c>
    </row>
    <row r="251" spans="1:17" ht="39.75" customHeight="1" thickTop="1" thickBot="1">
      <c r="A251" s="53"/>
      <c r="B251" s="53"/>
      <c r="C251" s="12" t="str">
        <f ca="1">'1ERA SERVICIOS GENERALES'!A18</f>
        <v>INSTALACIÓN Y REHABILITACIÓN DE SANITARIOS</v>
      </c>
      <c r="D251" s="18">
        <f ca="1">'1ERA SERVICIOS GENERALES'!F18</f>
        <v>187.5</v>
      </c>
      <c r="E251" s="19">
        <f ca="1">'1ERA SERVICIOS GENERALES'!G18</f>
        <v>3</v>
      </c>
      <c r="F251" s="19">
        <f ca="1">'1ERA SERVICIOS GENERALES'!H18</f>
        <v>2</v>
      </c>
      <c r="G251" s="19">
        <f ca="1">'1ERA SERVICIOS GENERALES'!I18</f>
        <v>2</v>
      </c>
      <c r="H251" s="19">
        <f ca="1">'1ERA SERVICIOS GENERALES'!J18</f>
        <v>1</v>
      </c>
      <c r="I251" s="19">
        <f ca="1">'1ERA SERVICIOS GENERALES'!K18</f>
        <v>1</v>
      </c>
      <c r="J251" s="19">
        <f ca="1">'1ERA SERVICIOS GENERALES'!L18</f>
        <v>2</v>
      </c>
      <c r="K251" s="19">
        <f ca="1">'1ERA SERVICIOS GENERALES'!M18</f>
        <v>0</v>
      </c>
      <c r="L251" s="19">
        <f ca="1">'1ERA SERVICIOS GENERALES'!N18</f>
        <v>1</v>
      </c>
      <c r="M251" s="19">
        <f ca="1">'1ERA SERVICIOS GENERALES'!O18</f>
        <v>0</v>
      </c>
      <c r="N251" s="19">
        <f ca="1">'1ERA SERVICIOS GENERALES'!P18</f>
        <v>2</v>
      </c>
      <c r="O251" s="19">
        <f ca="1">'1ERA SERVICIOS GENERALES'!Q18</f>
        <v>1</v>
      </c>
      <c r="P251" s="19">
        <f ca="1">'1ERA SERVICIOS GENERALES'!R18</f>
        <v>0</v>
      </c>
      <c r="Q251" s="21">
        <f ca="1">'1ERA SERVICIOS GENERALES'!S18</f>
        <v>15</v>
      </c>
    </row>
    <row r="252" spans="1:17" ht="39.75" customHeight="1" thickTop="1" thickBot="1">
      <c r="A252" s="53"/>
      <c r="B252" s="53"/>
      <c r="C252" s="12" t="str">
        <f ca="1">'1ERA SERVICIOS GENERALES'!A19</f>
        <v>MANTENIMIENTO A BOMBAS DE AGUA</v>
      </c>
      <c r="D252" s="18">
        <f ca="1">'1ERA SERVICIOS GENERALES'!F19</f>
        <v>208.333333333333</v>
      </c>
      <c r="E252" s="19">
        <f ca="1">'1ERA SERVICIOS GENERALES'!G19</f>
        <v>10</v>
      </c>
      <c r="F252" s="19">
        <f ca="1">'1ERA SERVICIOS GENERALES'!H19</f>
        <v>15</v>
      </c>
      <c r="G252" s="19">
        <f ca="1">'1ERA SERVICIOS GENERALES'!I19</f>
        <v>5</v>
      </c>
      <c r="H252" s="19">
        <f ca="1">'1ERA SERVICIOS GENERALES'!J19</f>
        <v>3</v>
      </c>
      <c r="I252" s="19">
        <f ca="1">'1ERA SERVICIOS GENERALES'!K19</f>
        <v>4</v>
      </c>
      <c r="J252" s="19">
        <f ca="1">'1ERA SERVICIOS GENERALES'!L19</f>
        <v>2</v>
      </c>
      <c r="K252" s="19">
        <f ca="1">'1ERA SERVICIOS GENERALES'!M19</f>
        <v>0</v>
      </c>
      <c r="L252" s="19">
        <f ca="1">'1ERA SERVICIOS GENERALES'!N19</f>
        <v>1</v>
      </c>
      <c r="M252" s="19">
        <f ca="1">'1ERA SERVICIOS GENERALES'!O19</f>
        <v>2</v>
      </c>
      <c r="N252" s="19">
        <f ca="1">'1ERA SERVICIOS GENERALES'!P19</f>
        <v>3</v>
      </c>
      <c r="O252" s="19">
        <f ca="1">'1ERA SERVICIOS GENERALES'!Q19</f>
        <v>0</v>
      </c>
      <c r="P252" s="19">
        <f ca="1">'1ERA SERVICIOS GENERALES'!R19</f>
        <v>5</v>
      </c>
      <c r="Q252" s="21">
        <f ca="1">'1ERA SERVICIOS GENERALES'!S19</f>
        <v>50</v>
      </c>
    </row>
    <row r="253" spans="1:17" ht="39.75" customHeight="1" thickTop="1" thickBot="1">
      <c r="A253" s="53"/>
      <c r="B253" s="53"/>
      <c r="C253" s="12" t="str">
        <f ca="1">'1ERA SERVICIOS GENERALES'!A20</f>
        <v>REPARACION DE FUGAS DE DRENAJE</v>
      </c>
      <c r="D253" s="18">
        <f ca="1">'1ERA SERVICIOS GENERALES'!F20</f>
        <v>92.857142857142804</v>
      </c>
      <c r="E253" s="19">
        <f ca="1">'1ERA SERVICIOS GENERALES'!G20</f>
        <v>3</v>
      </c>
      <c r="F253" s="19">
        <f ca="1">'1ERA SERVICIOS GENERALES'!H20</f>
        <v>2</v>
      </c>
      <c r="G253" s="19">
        <f ca="1">'1ERA SERVICIOS GENERALES'!I20</f>
        <v>0</v>
      </c>
      <c r="H253" s="19">
        <f ca="1">'1ERA SERVICIOS GENERALES'!J20</f>
        <v>1</v>
      </c>
      <c r="I253" s="19">
        <f ca="1">'1ERA SERVICIOS GENERALES'!K20</f>
        <v>1</v>
      </c>
      <c r="J253" s="19">
        <f ca="1">'1ERA SERVICIOS GENERALES'!L20</f>
        <v>2</v>
      </c>
      <c r="K253" s="19">
        <f ca="1">'1ERA SERVICIOS GENERALES'!M20</f>
        <v>0</v>
      </c>
      <c r="L253" s="19">
        <f ca="1">'1ERA SERVICIOS GENERALES'!N20</f>
        <v>1</v>
      </c>
      <c r="M253" s="19">
        <f ca="1">'1ERA SERVICIOS GENERALES'!O20</f>
        <v>0</v>
      </c>
      <c r="N253" s="19">
        <f ca="1">'1ERA SERVICIOS GENERALES'!P20</f>
        <v>2</v>
      </c>
      <c r="O253" s="19">
        <f ca="1">'1ERA SERVICIOS GENERALES'!Q20</f>
        <v>1</v>
      </c>
      <c r="P253" s="19">
        <f ca="1">'1ERA SERVICIOS GENERALES'!R20</f>
        <v>0</v>
      </c>
      <c r="Q253" s="21">
        <f ca="1">'1ERA SERVICIOS GENERALES'!S20</f>
        <v>13</v>
      </c>
    </row>
    <row r="254" spans="1:17" ht="39.75" customHeight="1" thickTop="1" thickBot="1">
      <c r="A254" s="53"/>
      <c r="B254" s="53"/>
      <c r="C254" s="12" t="str">
        <f ca="1">'1ERA SERVICIOS GENERALES'!A21</f>
        <v>LITROS EXTRAIDOS</v>
      </c>
      <c r="D254" s="18">
        <f ca="1">'1ERA SERVICIOS GENERALES'!F21</f>
        <v>83.3333333333333</v>
      </c>
      <c r="E254" s="19">
        <f ca="1">'1ERA SERVICIOS GENERALES'!G21</f>
        <v>10</v>
      </c>
      <c r="F254" s="19">
        <f ca="1">'1ERA SERVICIOS GENERALES'!H21</f>
        <v>15</v>
      </c>
      <c r="G254" s="19">
        <f ca="1">'1ERA SERVICIOS GENERALES'!I21</f>
        <v>5</v>
      </c>
      <c r="H254" s="19">
        <f ca="1">'1ERA SERVICIOS GENERALES'!J21</f>
        <v>3</v>
      </c>
      <c r="I254" s="19">
        <f ca="1">'1ERA SERVICIOS GENERALES'!K21</f>
        <v>4</v>
      </c>
      <c r="J254" s="19">
        <f ca="1">'1ERA SERVICIOS GENERALES'!L21</f>
        <v>2</v>
      </c>
      <c r="K254" s="19">
        <f ca="1">'1ERA SERVICIOS GENERALES'!M21</f>
        <v>0</v>
      </c>
      <c r="L254" s="19">
        <f ca="1">'1ERA SERVICIOS GENERALES'!N21</f>
        <v>1</v>
      </c>
      <c r="M254" s="19">
        <f ca="1">'1ERA SERVICIOS GENERALES'!O21</f>
        <v>2</v>
      </c>
      <c r="N254" s="19">
        <f ca="1">'1ERA SERVICIOS GENERALES'!P21</f>
        <v>3</v>
      </c>
      <c r="O254" s="19">
        <f ca="1">'1ERA SERVICIOS GENERALES'!Q21</f>
        <v>0</v>
      </c>
      <c r="P254" s="19">
        <f ca="1">'1ERA SERVICIOS GENERALES'!R21</f>
        <v>5</v>
      </c>
      <c r="Q254" s="21">
        <f ca="1">'1ERA SERVICIOS GENERALES'!S21</f>
        <v>50</v>
      </c>
    </row>
    <row r="255" spans="1:17" ht="39.75" customHeight="1" thickTop="1" thickBot="1">
      <c r="A255" s="53"/>
      <c r="B255" s="53"/>
      <c r="C255" s="12" t="str">
        <f ca="1">'1ERA SERVICIOS GENERALES'!A22</f>
        <v>LITROS DE HIPOCLORITO DE SODIO EN POZOS</v>
      </c>
      <c r="D255" s="18">
        <f ca="1">'1ERA SERVICIOS GENERALES'!F22</f>
        <v>107.182916666666</v>
      </c>
      <c r="E255" s="19">
        <f ca="1">'1ERA SERVICIOS GENERALES'!G22</f>
        <v>117750</v>
      </c>
      <c r="F255" s="19">
        <f ca="1">'1ERA SERVICIOS GENERALES'!H22</f>
        <v>117750</v>
      </c>
      <c r="G255" s="19">
        <f ca="1">'1ERA SERVICIOS GENERALES'!I22</f>
        <v>117750</v>
      </c>
      <c r="H255" s="19">
        <f ca="1">'1ERA SERVICIOS GENERALES'!J22</f>
        <v>117144</v>
      </c>
      <c r="I255" s="19">
        <f ca="1">'1ERA SERVICIOS GENERALES'!K22</f>
        <v>114769</v>
      </c>
      <c r="J255" s="19">
        <f ca="1">'1ERA SERVICIOS GENERALES'!L22</f>
        <v>126388</v>
      </c>
      <c r="K255" s="19">
        <f ca="1">'1ERA SERVICIOS GENERALES'!M22</f>
        <v>100142</v>
      </c>
      <c r="L255" s="19">
        <f ca="1">'1ERA SERVICIOS GENERALES'!N22</f>
        <v>112707</v>
      </c>
      <c r="M255" s="19">
        <f ca="1">'1ERA SERVICIOS GENERALES'!O22</f>
        <v>92949</v>
      </c>
      <c r="N255" s="19">
        <f ca="1">'1ERA SERVICIOS GENERALES'!P22</f>
        <v>86678</v>
      </c>
      <c r="O255" s="19">
        <f ca="1">'1ERA SERVICIOS GENERALES'!Q22</f>
        <v>92060</v>
      </c>
      <c r="P255" s="19">
        <f ca="1">'1ERA SERVICIOS GENERALES'!R22</f>
        <v>90108</v>
      </c>
      <c r="Q255" s="21">
        <f ca="1">'1ERA SERVICIOS GENERALES'!S22</f>
        <v>1286195</v>
      </c>
    </row>
    <row r="256" spans="1:17" ht="39.75" customHeight="1" thickTop="1" thickBot="1">
      <c r="A256" s="53"/>
      <c r="B256" s="53"/>
      <c r="C256" s="12" t="str">
        <f ca="1">'1ERA SERVICIOS GENERALES'!A23</f>
        <v>MANTENIMIENTO A PLANTAS TRATADORAS</v>
      </c>
      <c r="D256" s="18">
        <f ca="1">'1ERA SERVICIOS GENERALES'!F23</f>
        <v>99.824561403508696</v>
      </c>
      <c r="E256" s="19">
        <f ca="1">'1ERA SERVICIOS GENERALES'!G23</f>
        <v>650</v>
      </c>
      <c r="F256" s="19">
        <f ca="1">'1ERA SERVICIOS GENERALES'!H23</f>
        <v>650</v>
      </c>
      <c r="G256" s="19">
        <f ca="1">'1ERA SERVICIOS GENERALES'!I23</f>
        <v>0</v>
      </c>
      <c r="H256" s="19">
        <f ca="1">'1ERA SERVICIOS GENERALES'!J23</f>
        <v>9500</v>
      </c>
      <c r="I256" s="19">
        <f ca="1">'1ERA SERVICIOS GENERALES'!K23</f>
        <v>12500</v>
      </c>
      <c r="J256" s="19">
        <f ca="1">'1ERA SERVICIOS GENERALES'!L23</f>
        <v>12500</v>
      </c>
      <c r="K256" s="19">
        <f ca="1">'1ERA SERVICIOS GENERALES'!M23</f>
        <v>14000</v>
      </c>
      <c r="L256" s="19">
        <f ca="1">'1ERA SERVICIOS GENERALES'!N23</f>
        <v>14000</v>
      </c>
      <c r="M256" s="19">
        <f ca="1">'1ERA SERVICIOS GENERALES'!O23</f>
        <v>13250</v>
      </c>
      <c r="N256" s="19">
        <f ca="1">'1ERA SERVICIOS GENERALES'!P23</f>
        <v>13250</v>
      </c>
      <c r="O256" s="19">
        <f ca="1">'1ERA SERVICIOS GENERALES'!Q23</f>
        <v>10750</v>
      </c>
      <c r="P256" s="19">
        <f ca="1">'1ERA SERVICIOS GENERALES'!R23</f>
        <v>12750</v>
      </c>
      <c r="Q256" s="21">
        <f ca="1">'1ERA SERVICIOS GENERALES'!S23</f>
        <v>113800</v>
      </c>
    </row>
    <row r="257" spans="1:17" ht="39.75" customHeight="1" thickTop="1" thickBot="1">
      <c r="A257" s="53"/>
      <c r="B257" s="53"/>
      <c r="C257" s="12" t="str">
        <f ca="1">'1ERA SERVICIOS GENERALES'!A24</f>
        <v>ACTIVIDADES EXTRAS (APOYO A EVENTOS, MANTENIMIENTO HÍDRICO DE EDIFICIOS PÚBLICOS)</v>
      </c>
      <c r="D257" s="18">
        <f ca="1">'1ERA SERVICIOS GENERALES'!F24</f>
        <v>94.7569444444444</v>
      </c>
      <c r="E257" s="19">
        <f ca="1">'1ERA SERVICIOS GENERALES'!G24</f>
        <v>2</v>
      </c>
      <c r="F257" s="19">
        <f ca="1">'1ERA SERVICIOS GENERALES'!H24</f>
        <v>3</v>
      </c>
      <c r="G257" s="19">
        <f ca="1">'1ERA SERVICIOS GENERALES'!I24</f>
        <v>1</v>
      </c>
      <c r="H257" s="19">
        <f ca="1">'1ERA SERVICIOS GENERALES'!J24</f>
        <v>246</v>
      </c>
      <c r="I257" s="19">
        <f ca="1">'1ERA SERVICIOS GENERALES'!K24</f>
        <v>241</v>
      </c>
      <c r="J257" s="19">
        <f ca="1">'1ERA SERVICIOS GENERALES'!L24</f>
        <v>235</v>
      </c>
      <c r="K257" s="19">
        <f ca="1">'1ERA SERVICIOS GENERALES'!M24</f>
        <v>298</v>
      </c>
      <c r="L257" s="19">
        <f ca="1">'1ERA SERVICIOS GENERALES'!N24</f>
        <v>297</v>
      </c>
      <c r="M257" s="19">
        <f ca="1">'1ERA SERVICIOS GENERALES'!O24</f>
        <v>232</v>
      </c>
      <c r="N257" s="19">
        <f ca="1">'1ERA SERVICIOS GENERALES'!P24</f>
        <v>379</v>
      </c>
      <c r="O257" s="19">
        <f ca="1">'1ERA SERVICIOS GENERALES'!Q24</f>
        <v>398</v>
      </c>
      <c r="P257" s="19">
        <f ca="1">'1ERA SERVICIOS GENERALES'!R24</f>
        <v>397</v>
      </c>
      <c r="Q257" s="21">
        <f ca="1">'1ERA SERVICIOS GENERALES'!S24</f>
        <v>2729</v>
      </c>
    </row>
    <row r="258" spans="1:17" ht="39.75" customHeight="1" thickTop="1" thickBot="1">
      <c r="A258" s="53"/>
      <c r="B258" s="51"/>
      <c r="C258" s="12" t="str">
        <f ca="1">'1ERA SERVICIOS GENERALES'!A25</f>
        <v>ANALISIS FISICOQUÍMICOS</v>
      </c>
      <c r="D258" s="18">
        <f ca="1">'1ERA SERVICIOS GENERALES'!F25</f>
        <v>116.666666666666</v>
      </c>
      <c r="E258" s="19">
        <f ca="1">'1ERA SERVICIOS GENERALES'!G25</f>
        <v>0</v>
      </c>
      <c r="F258" s="19">
        <f ca="1">'1ERA SERVICIOS GENERALES'!H25</f>
        <v>0</v>
      </c>
      <c r="G258" s="19">
        <f ca="1">'1ERA SERVICIOS GENERALES'!I25</f>
        <v>0</v>
      </c>
      <c r="H258" s="19">
        <f ca="1">'1ERA SERVICIOS GENERALES'!J25</f>
        <v>1</v>
      </c>
      <c r="I258" s="19">
        <f ca="1">'1ERA SERVICIOS GENERALES'!K25</f>
        <v>3</v>
      </c>
      <c r="J258" s="19">
        <f ca="1">'1ERA SERVICIOS GENERALES'!L25</f>
        <v>1</v>
      </c>
      <c r="K258" s="19">
        <f ca="1">'1ERA SERVICIOS GENERALES'!M25</f>
        <v>0</v>
      </c>
      <c r="L258" s="19">
        <f ca="1">'1ERA SERVICIOS GENERALES'!N25</f>
        <v>0</v>
      </c>
      <c r="M258" s="19">
        <f ca="1">'1ERA SERVICIOS GENERALES'!O25</f>
        <v>0</v>
      </c>
      <c r="N258" s="19">
        <f ca="1">'1ERA SERVICIOS GENERALES'!P25</f>
        <v>3</v>
      </c>
      <c r="O258" s="19">
        <f ca="1">'1ERA SERVICIOS GENERALES'!Q25</f>
        <v>4</v>
      </c>
      <c r="P258" s="19">
        <f ca="1">'1ERA SERVICIOS GENERALES'!R25</f>
        <v>2</v>
      </c>
      <c r="Q258" s="21">
        <f ca="1">'1ERA SERVICIOS GENERALES'!S25</f>
        <v>14</v>
      </c>
    </row>
    <row r="259" spans="1:17" ht="39.75" customHeight="1" thickTop="1" thickBot="1">
      <c r="A259" s="53"/>
      <c r="B259" s="52" t="s">
        <v>313</v>
      </c>
      <c r="C259" s="12" t="str">
        <f ca="1">'1ERA SERVICIOS GENERALES'!A26</f>
        <v>PODAS EN ESPACIOS PUBLICOS MUNICIPALES</v>
      </c>
      <c r="D259" s="18">
        <f ca="1">'1ERA SERVICIOS GENERALES'!F26</f>
        <v>0</v>
      </c>
      <c r="E259" s="19">
        <f ca="1">'1ERA SERVICIOS GENERALES'!G26</f>
        <v>0</v>
      </c>
      <c r="F259" s="19">
        <f ca="1">'1ERA SERVICIOS GENERALES'!H26</f>
        <v>0</v>
      </c>
      <c r="G259" s="19">
        <f ca="1">'1ERA SERVICIOS GENERALES'!I26</f>
        <v>0</v>
      </c>
      <c r="H259" s="19">
        <f ca="1">'1ERA SERVICIOS GENERALES'!J26</f>
        <v>0</v>
      </c>
      <c r="I259" s="19">
        <f ca="1">'1ERA SERVICIOS GENERALES'!K26</f>
        <v>0</v>
      </c>
      <c r="J259" s="19">
        <f ca="1">'1ERA SERVICIOS GENERALES'!L26</f>
        <v>0</v>
      </c>
      <c r="K259" s="19">
        <f ca="1">'1ERA SERVICIOS GENERALES'!M26</f>
        <v>0</v>
      </c>
      <c r="L259" s="19">
        <f ca="1">'1ERA SERVICIOS GENERALES'!N26</f>
        <v>0</v>
      </c>
      <c r="M259" s="19">
        <f ca="1">'1ERA SERVICIOS GENERALES'!O26</f>
        <v>0</v>
      </c>
      <c r="N259" s="19">
        <f ca="1">'1ERA SERVICIOS GENERALES'!P26</f>
        <v>0</v>
      </c>
      <c r="O259" s="19">
        <f ca="1">'1ERA SERVICIOS GENERALES'!Q26</f>
        <v>0</v>
      </c>
      <c r="P259" s="19">
        <f ca="1">'1ERA SERVICIOS GENERALES'!R26</f>
        <v>0</v>
      </c>
      <c r="Q259" s="21">
        <f ca="1">'1ERA SERVICIOS GENERALES'!S26</f>
        <v>0</v>
      </c>
    </row>
    <row r="260" spans="1:17" ht="39.75" customHeight="1" thickTop="1" thickBot="1">
      <c r="A260" s="53"/>
      <c r="B260" s="53"/>
      <c r="C260" s="12" t="str">
        <f ca="1">'1ERA SERVICIOS GENERALES'!A27</f>
        <v>PODAS EN CARRETERAS Y CAMINOS</v>
      </c>
      <c r="D260" s="18">
        <f ca="1">'1ERA SERVICIOS GENERALES'!F27</f>
        <v>87.0833333333333</v>
      </c>
      <c r="E260" s="19">
        <f ca="1">'1ERA SERVICIOS GENERALES'!G27</f>
        <v>80</v>
      </c>
      <c r="F260" s="19">
        <f ca="1">'1ERA SERVICIOS GENERALES'!H27</f>
        <v>50</v>
      </c>
      <c r="G260" s="19">
        <f ca="1">'1ERA SERVICIOS GENERALES'!I27</f>
        <v>20</v>
      </c>
      <c r="H260" s="19">
        <f ca="1">'1ERA SERVICIOS GENERALES'!J27</f>
        <v>42</v>
      </c>
      <c r="I260" s="19">
        <f ca="1">'1ERA SERVICIOS GENERALES'!K27</f>
        <v>18</v>
      </c>
      <c r="J260" s="19">
        <f ca="1">'1ERA SERVICIOS GENERALES'!L27</f>
        <v>34</v>
      </c>
      <c r="K260" s="19">
        <f ca="1">'1ERA SERVICIOS GENERALES'!M27</f>
        <v>40</v>
      </c>
      <c r="L260" s="19">
        <f ca="1">'1ERA SERVICIOS GENERALES'!N27</f>
        <v>48</v>
      </c>
      <c r="M260" s="19">
        <f ca="1">'1ERA SERVICIOS GENERALES'!O27</f>
        <v>53</v>
      </c>
      <c r="N260" s="19">
        <f ca="1">'1ERA SERVICIOS GENERALES'!P27</f>
        <v>13</v>
      </c>
      <c r="O260" s="19">
        <f ca="1">'1ERA SERVICIOS GENERALES'!Q27</f>
        <v>9</v>
      </c>
      <c r="P260" s="19">
        <f ca="1">'1ERA SERVICIOS GENERALES'!R27</f>
        <v>11</v>
      </c>
      <c r="Q260" s="21">
        <f ca="1">'1ERA SERVICIOS GENERALES'!S27</f>
        <v>418</v>
      </c>
    </row>
    <row r="261" spans="1:17" ht="39.75" customHeight="1" thickTop="1" thickBot="1">
      <c r="A261" s="53"/>
      <c r="B261" s="53"/>
      <c r="C261" s="12" t="str">
        <f ca="1">'1ERA SERVICIOS GENERALES'!A28</f>
        <v>PODAS EN CAMELLONES Y BANQUETAS DE CALLES</v>
      </c>
      <c r="D261" s="18">
        <f ca="1">'1ERA SERVICIOS GENERALES'!F28</f>
        <v>230.555555555555</v>
      </c>
      <c r="E261" s="19">
        <f ca="1">'1ERA SERVICIOS GENERALES'!G28</f>
        <v>90</v>
      </c>
      <c r="F261" s="19">
        <f ca="1">'1ERA SERVICIOS GENERALES'!H28</f>
        <v>50</v>
      </c>
      <c r="G261" s="19">
        <f ca="1">'1ERA SERVICIOS GENERALES'!I28</f>
        <v>20</v>
      </c>
      <c r="H261" s="19">
        <f ca="1">'1ERA SERVICIOS GENERALES'!J28</f>
        <v>17</v>
      </c>
      <c r="I261" s="19">
        <f ca="1">'1ERA SERVICIOS GENERALES'!K28</f>
        <v>13</v>
      </c>
      <c r="J261" s="19">
        <f ca="1">'1ERA SERVICIOS GENERALES'!L28</f>
        <v>10</v>
      </c>
      <c r="K261" s="19">
        <f ca="1">'1ERA SERVICIOS GENERALES'!M28</f>
        <v>35</v>
      </c>
      <c r="L261" s="19">
        <f ca="1">'1ERA SERVICIOS GENERALES'!N28</f>
        <v>47</v>
      </c>
      <c r="M261" s="19">
        <f ca="1">'1ERA SERVICIOS GENERALES'!O28</f>
        <v>68</v>
      </c>
      <c r="N261" s="19">
        <f ca="1">'1ERA SERVICIOS GENERALES'!P28</f>
        <v>22</v>
      </c>
      <c r="O261" s="19">
        <f ca="1">'1ERA SERVICIOS GENERALES'!Q28</f>
        <v>16</v>
      </c>
      <c r="P261" s="19">
        <f ca="1">'1ERA SERVICIOS GENERALES'!R28</f>
        <v>27</v>
      </c>
      <c r="Q261" s="21">
        <f ca="1">'1ERA SERVICIOS GENERALES'!S28</f>
        <v>415</v>
      </c>
    </row>
    <row r="262" spans="1:17" ht="39.75" customHeight="1" thickTop="1" thickBot="1">
      <c r="A262" s="53"/>
      <c r="B262" s="53"/>
      <c r="C262" s="12" t="str">
        <f ca="1">'1ERA SERVICIOS GENERALES'!A29</f>
        <v>PODAS EN UNIDADES DEPORTIVAS Y CAMPOS DE FÚTBOL</v>
      </c>
      <c r="D262" s="18">
        <f ca="1">'1ERA SERVICIOS GENERALES'!F29</f>
        <v>194.166666666666</v>
      </c>
      <c r="E262" s="19">
        <f ca="1">'1ERA SERVICIOS GENERALES'!G29</f>
        <v>100</v>
      </c>
      <c r="F262" s="19">
        <f ca="1">'1ERA SERVICIOS GENERALES'!H29</f>
        <v>50</v>
      </c>
      <c r="G262" s="19">
        <f ca="1">'1ERA SERVICIOS GENERALES'!I29</f>
        <v>0</v>
      </c>
      <c r="H262" s="19">
        <f ca="1">'1ERA SERVICIOS GENERALES'!J29</f>
        <v>28</v>
      </c>
      <c r="I262" s="19">
        <f ca="1">'1ERA SERVICIOS GENERALES'!K29</f>
        <v>32</v>
      </c>
      <c r="J262" s="19">
        <f ca="1">'1ERA SERVICIOS GENERALES'!L29</f>
        <v>26</v>
      </c>
      <c r="K262" s="19">
        <f ca="1">'1ERA SERVICIOS GENERALES'!M29</f>
        <v>24</v>
      </c>
      <c r="L262" s="19">
        <f ca="1">'1ERA SERVICIOS GENERALES'!N29</f>
        <v>19</v>
      </c>
      <c r="M262" s="19">
        <f ca="1">'1ERA SERVICIOS GENERALES'!O29</f>
        <v>37</v>
      </c>
      <c r="N262" s="19">
        <f ca="1">'1ERA SERVICIOS GENERALES'!P29</f>
        <v>62</v>
      </c>
      <c r="O262" s="19">
        <f ca="1">'1ERA SERVICIOS GENERALES'!Q29</f>
        <v>41</v>
      </c>
      <c r="P262" s="19">
        <f ca="1">'1ERA SERVICIOS GENERALES'!R29</f>
        <v>47</v>
      </c>
      <c r="Q262" s="21">
        <f ca="1">'1ERA SERVICIOS GENERALES'!S29</f>
        <v>466</v>
      </c>
    </row>
    <row r="263" spans="1:17" ht="39.75" customHeight="1" thickTop="1" thickBot="1">
      <c r="A263" s="53"/>
      <c r="B263" s="53"/>
      <c r="C263" s="12" t="str">
        <f ca="1">'1ERA SERVICIOS GENERALES'!A30</f>
        <v>PODAS DE ÁRBOLES</v>
      </c>
      <c r="D263" s="18">
        <f ca="1">'1ERA SERVICIOS GENERALES'!F30</f>
        <v>590</v>
      </c>
      <c r="E263" s="19">
        <f ca="1">'1ERA SERVICIOS GENERALES'!G30</f>
        <v>13</v>
      </c>
      <c r="F263" s="19">
        <f ca="1">'1ERA SERVICIOS GENERALES'!H30</f>
        <v>16</v>
      </c>
      <c r="G263" s="19">
        <f ca="1">'1ERA SERVICIOS GENERALES'!I30</f>
        <v>15</v>
      </c>
      <c r="H263" s="19">
        <f ca="1">'1ERA SERVICIOS GENERALES'!J30</f>
        <v>2</v>
      </c>
      <c r="I263" s="19">
        <f ca="1">'1ERA SERVICIOS GENERALES'!K30</f>
        <v>1</v>
      </c>
      <c r="J263" s="19">
        <f ca="1">'1ERA SERVICIOS GENERALES'!L30</f>
        <v>1</v>
      </c>
      <c r="K263" s="19">
        <f ca="1">'1ERA SERVICIOS GENERALES'!M30</f>
        <v>0</v>
      </c>
      <c r="L263" s="19">
        <f ca="1">'1ERA SERVICIOS GENERALES'!N30</f>
        <v>0</v>
      </c>
      <c r="M263" s="19">
        <f ca="1">'1ERA SERVICIOS GENERALES'!O30</f>
        <v>0</v>
      </c>
      <c r="N263" s="19">
        <f ca="1">'1ERA SERVICIOS GENERALES'!P30</f>
        <v>4</v>
      </c>
      <c r="O263" s="19">
        <f ca="1">'1ERA SERVICIOS GENERALES'!Q30</f>
        <v>1</v>
      </c>
      <c r="P263" s="19">
        <f ca="1">'1ERA SERVICIOS GENERALES'!R30</f>
        <v>6</v>
      </c>
      <c r="Q263" s="21">
        <f ca="1">'1ERA SERVICIOS GENERALES'!S30</f>
        <v>59</v>
      </c>
    </row>
    <row r="264" spans="1:17" ht="39.75" customHeight="1" thickTop="1" thickBot="1">
      <c r="A264" s="53"/>
      <c r="B264" s="51"/>
      <c r="C264" s="12" t="str">
        <f ca="1">'1ERA SERVICIOS GENERALES'!A31</f>
        <v>PODAS EN ESCUELAS</v>
      </c>
      <c r="D264" s="18">
        <f ca="1">'1ERA SERVICIOS GENERALES'!F31</f>
        <v>172.5</v>
      </c>
      <c r="E264" s="19">
        <f ca="1">'1ERA SERVICIOS GENERALES'!G31</f>
        <v>50</v>
      </c>
      <c r="F264" s="19">
        <f ca="1">'1ERA SERVICIOS GENERALES'!H31</f>
        <v>30</v>
      </c>
      <c r="G264" s="19">
        <f ca="1">'1ERA SERVICIOS GENERALES'!I31</f>
        <v>10</v>
      </c>
      <c r="H264" s="19">
        <f ca="1">'1ERA SERVICIOS GENERALES'!J31</f>
        <v>8</v>
      </c>
      <c r="I264" s="19">
        <f ca="1">'1ERA SERVICIOS GENERALES'!K31</f>
        <v>14</v>
      </c>
      <c r="J264" s="19">
        <f ca="1">'1ERA SERVICIOS GENERALES'!L31</f>
        <v>32</v>
      </c>
      <c r="K264" s="19">
        <f ca="1">'1ERA SERVICIOS GENERALES'!M31</f>
        <v>9</v>
      </c>
      <c r="L264" s="19">
        <f ca="1">'1ERA SERVICIOS GENERALES'!N31</f>
        <v>10</v>
      </c>
      <c r="M264" s="19">
        <f ca="1">'1ERA SERVICIOS GENERALES'!O31</f>
        <v>15</v>
      </c>
      <c r="N264" s="19">
        <f ca="1">'1ERA SERVICIOS GENERALES'!P31</f>
        <v>3</v>
      </c>
      <c r="O264" s="19">
        <f ca="1">'1ERA SERVICIOS GENERALES'!Q31</f>
        <v>16</v>
      </c>
      <c r="P264" s="19">
        <f ca="1">'1ERA SERVICIOS GENERALES'!R31</f>
        <v>10</v>
      </c>
      <c r="Q264" s="21">
        <f ca="1">'1ERA SERVICIOS GENERALES'!S31</f>
        <v>207</v>
      </c>
    </row>
    <row r="265" spans="1:17" ht="39.75" customHeight="1" thickTop="1" thickBot="1">
      <c r="A265" s="53"/>
      <c r="B265" s="52" t="s">
        <v>320</v>
      </c>
      <c r="C265" s="12" t="str">
        <f ca="1">'1ERA SERVICIOS GENERALES'!A32</f>
        <v>SACRIFICIO DE RESES</v>
      </c>
      <c r="D265" s="18">
        <f ca="1">'1ERA SERVICIOS GENERALES'!F32</f>
        <v>107.333333333333</v>
      </c>
      <c r="E265" s="19">
        <f ca="1">'1ERA SERVICIOS GENERALES'!G32</f>
        <v>0</v>
      </c>
      <c r="F265" s="19">
        <f ca="1">'1ERA SERVICIOS GENERALES'!H32</f>
        <v>270</v>
      </c>
      <c r="G265" s="19">
        <f ca="1">'1ERA SERVICIOS GENERALES'!I32</f>
        <v>433</v>
      </c>
      <c r="H265" s="19">
        <f ca="1">'1ERA SERVICIOS GENERALES'!J32</f>
        <v>240</v>
      </c>
      <c r="I265" s="19">
        <f ca="1">'1ERA SERVICIOS GENERALES'!K32</f>
        <v>224</v>
      </c>
      <c r="J265" s="19">
        <f ca="1">'1ERA SERVICIOS GENERALES'!L32</f>
        <v>185</v>
      </c>
      <c r="K265" s="19">
        <f ca="1">'1ERA SERVICIOS GENERALES'!M32</f>
        <v>210</v>
      </c>
      <c r="L265" s="19">
        <f ca="1">'1ERA SERVICIOS GENERALES'!N32</f>
        <v>190</v>
      </c>
      <c r="M265" s="19">
        <f ca="1">'1ERA SERVICIOS GENERALES'!O32</f>
        <v>0</v>
      </c>
      <c r="N265" s="19">
        <f ca="1">'1ERA SERVICIOS GENERALES'!P32</f>
        <v>293</v>
      </c>
      <c r="O265" s="19">
        <f ca="1">'1ERA SERVICIOS GENERALES'!Q32</f>
        <v>254</v>
      </c>
      <c r="P265" s="19">
        <f ca="1">'1ERA SERVICIOS GENERALES'!R32</f>
        <v>277</v>
      </c>
      <c r="Q265" s="21">
        <f ca="1">'1ERA SERVICIOS GENERALES'!S32</f>
        <v>2576</v>
      </c>
    </row>
    <row r="266" spans="1:17" ht="39.75" customHeight="1" thickTop="1" thickBot="1">
      <c r="A266" s="53"/>
      <c r="B266" s="53"/>
      <c r="C266" s="12" t="str">
        <f ca="1">'1ERA SERVICIOS GENERALES'!A33</f>
        <v>SACRIFICIOS DE CERDOS</v>
      </c>
      <c r="D266" s="18">
        <f ca="1">'1ERA SERVICIOS GENERALES'!F33</f>
        <v>96.3368055555555</v>
      </c>
      <c r="E266" s="19">
        <f ca="1">'1ERA SERVICIOS GENERALES'!G33</f>
        <v>564</v>
      </c>
      <c r="F266" s="19">
        <f ca="1">'1ERA SERVICIOS GENERALES'!H33</f>
        <v>564</v>
      </c>
      <c r="G266" s="19">
        <f ca="1">'1ERA SERVICIOS GENERALES'!I33</f>
        <v>828</v>
      </c>
      <c r="H266" s="19">
        <f ca="1">'1ERA SERVICIOS GENERALES'!J33</f>
        <v>595</v>
      </c>
      <c r="I266" s="19">
        <f ca="1">'1ERA SERVICIOS GENERALES'!K33</f>
        <v>529</v>
      </c>
      <c r="J266" s="19">
        <f ca="1">'1ERA SERVICIOS GENERALES'!L33</f>
        <v>495</v>
      </c>
      <c r="K266" s="19">
        <f ca="1">'1ERA SERVICIOS GENERALES'!M33</f>
        <v>510</v>
      </c>
      <c r="L266" s="19">
        <f ca="1">'1ERA SERVICIOS GENERALES'!N33</f>
        <v>475</v>
      </c>
      <c r="M266" s="19">
        <f ca="1">'1ERA SERVICIOS GENERALES'!O33</f>
        <v>0</v>
      </c>
      <c r="N266" s="19">
        <f ca="1">'1ERA SERVICIOS GENERALES'!P33</f>
        <v>347</v>
      </c>
      <c r="O266" s="19">
        <f ca="1">'1ERA SERVICIOS GENERALES'!Q33</f>
        <v>347</v>
      </c>
      <c r="P266" s="19">
        <f ca="1">'1ERA SERVICIOS GENERALES'!R33</f>
        <v>295</v>
      </c>
      <c r="Q266" s="21">
        <f ca="1">'1ERA SERVICIOS GENERALES'!S33</f>
        <v>5549</v>
      </c>
    </row>
    <row r="267" spans="1:17" ht="39.75" customHeight="1" thickTop="1" thickBot="1">
      <c r="A267" s="53"/>
      <c r="B267" s="53"/>
      <c r="C267" s="12" t="str">
        <f ca="1">'1ERA SERVICIOS GENERALES'!A34</f>
        <v>TOTAL DE ANIMALES RESGUARDADOS</v>
      </c>
      <c r="D267" s="18">
        <f ca="1">'1ERA SERVICIOS GENERALES'!F34</f>
        <v>104.78855721393001</v>
      </c>
      <c r="E267" s="19">
        <f ca="1">'1ERA SERVICIOS GENERALES'!G34</f>
        <v>840</v>
      </c>
      <c r="F267" s="19">
        <f ca="1">'1ERA SERVICIOS GENERALES'!H34</f>
        <v>840</v>
      </c>
      <c r="G267" s="19">
        <f ca="1">'1ERA SERVICIOS GENERALES'!I34</f>
        <v>1261</v>
      </c>
      <c r="H267" s="19">
        <f ca="1">'1ERA SERVICIOS GENERALES'!J34</f>
        <v>835</v>
      </c>
      <c r="I267" s="19">
        <f ca="1">'1ERA SERVICIOS GENERALES'!K34</f>
        <v>753</v>
      </c>
      <c r="J267" s="19">
        <f ca="1">'1ERA SERVICIOS GENERALES'!L34</f>
        <v>680</v>
      </c>
      <c r="K267" s="19">
        <f ca="1">'1ERA SERVICIOS GENERALES'!M34</f>
        <v>729</v>
      </c>
      <c r="L267" s="19">
        <f ca="1">'1ERA SERVICIOS GENERALES'!N34</f>
        <v>674</v>
      </c>
      <c r="M267" s="19">
        <f ca="1">'1ERA SERVICIOS GENERALES'!O34</f>
        <v>0</v>
      </c>
      <c r="N267" s="19">
        <f ca="1">'1ERA SERVICIOS GENERALES'!P34</f>
        <v>640</v>
      </c>
      <c r="O267" s="19">
        <f ca="1">'1ERA SERVICIOS GENERALES'!Q34</f>
        <v>601</v>
      </c>
      <c r="P267" s="19">
        <f ca="1">'1ERA SERVICIOS GENERALES'!R34</f>
        <v>572</v>
      </c>
      <c r="Q267" s="21">
        <f ca="1">'1ERA SERVICIOS GENERALES'!S34</f>
        <v>8425</v>
      </c>
    </row>
    <row r="268" spans="1:17" ht="39.75" customHeight="1" thickTop="1" thickBot="1">
      <c r="A268" s="53"/>
      <c r="B268" s="53"/>
      <c r="C268" s="12" t="str">
        <f ca="1">'1ERA SERVICIOS GENERALES'!A35</f>
        <v>DECOMISOS (KG)</v>
      </c>
      <c r="D268" s="18">
        <f ca="1">'1ERA SERVICIOS GENERALES'!F35</f>
        <v>226500</v>
      </c>
      <c r="E268" s="19">
        <f ca="1">'1ERA SERVICIOS GENERALES'!G35</f>
        <v>180</v>
      </c>
      <c r="F268" s="19">
        <f ca="1">'1ERA SERVICIOS GENERALES'!H35</f>
        <v>250</v>
      </c>
      <c r="G268" s="19">
        <f ca="1">'1ERA SERVICIOS GENERALES'!I35</f>
        <v>350</v>
      </c>
      <c r="H268" s="19">
        <f ca="1">'1ERA SERVICIOS GENERALES'!J35</f>
        <v>0</v>
      </c>
      <c r="I268" s="19">
        <f ca="1">'1ERA SERVICIOS GENERALES'!K35</f>
        <v>0</v>
      </c>
      <c r="J268" s="19">
        <f ca="1">'1ERA SERVICIOS GENERALES'!L35</f>
        <v>0</v>
      </c>
      <c r="K268" s="19">
        <f ca="1">'1ERA SERVICIOS GENERALES'!M35</f>
        <v>0</v>
      </c>
      <c r="L268" s="19">
        <f ca="1">'1ERA SERVICIOS GENERALES'!N35</f>
        <v>0</v>
      </c>
      <c r="M268" s="19">
        <f ca="1">'1ERA SERVICIOS GENERALES'!O35</f>
        <v>0</v>
      </c>
      <c r="N268" s="19">
        <f ca="1">'1ERA SERVICIOS GENERALES'!P35</f>
        <v>13800</v>
      </c>
      <c r="O268" s="19">
        <f ca="1">'1ERA SERVICIOS GENERALES'!Q35</f>
        <v>0</v>
      </c>
      <c r="P268" s="19">
        <f ca="1">'1ERA SERVICIOS GENERALES'!R35</f>
        <v>12600</v>
      </c>
      <c r="Q268" s="21">
        <f ca="1">'1ERA SERVICIOS GENERALES'!S35</f>
        <v>27180</v>
      </c>
    </row>
    <row r="269" spans="1:17" ht="39.75" customHeight="1" thickTop="1" thickBot="1">
      <c r="A269" s="53"/>
      <c r="B269" s="53"/>
      <c r="C269" s="12" t="str">
        <f ca="1">'1ERA SERVICIOS GENERALES'!A36</f>
        <v>TOTAL DE ANIMALES DECOMISADOS</v>
      </c>
      <c r="D269" s="18">
        <f ca="1">'1ERA SERVICIOS GENERALES'!F36</f>
        <v>0</v>
      </c>
      <c r="E269" s="19">
        <f ca="1">'1ERA SERVICIOS GENERALES'!G36</f>
        <v>0</v>
      </c>
      <c r="F269" s="19">
        <f ca="1">'1ERA SERVICIOS GENERALES'!H36</f>
        <v>0</v>
      </c>
      <c r="G269" s="19">
        <f ca="1">'1ERA SERVICIOS GENERALES'!I36</f>
        <v>0</v>
      </c>
      <c r="H269" s="19">
        <f ca="1">'1ERA SERVICIOS GENERALES'!J36</f>
        <v>0</v>
      </c>
      <c r="I269" s="19">
        <f ca="1">'1ERA SERVICIOS GENERALES'!K36</f>
        <v>0</v>
      </c>
      <c r="J269" s="19">
        <f ca="1">'1ERA SERVICIOS GENERALES'!L36</f>
        <v>0</v>
      </c>
      <c r="K269" s="19">
        <f ca="1">'1ERA SERVICIOS GENERALES'!M36</f>
        <v>0</v>
      </c>
      <c r="L269" s="19">
        <f ca="1">'1ERA SERVICIOS GENERALES'!N36</f>
        <v>0</v>
      </c>
      <c r="M269" s="19">
        <f ca="1">'1ERA SERVICIOS GENERALES'!O36</f>
        <v>0</v>
      </c>
      <c r="N269" s="19">
        <f ca="1">'1ERA SERVICIOS GENERALES'!P36</f>
        <v>0</v>
      </c>
      <c r="O269" s="19">
        <f ca="1">'1ERA SERVICIOS GENERALES'!Q36</f>
        <v>0</v>
      </c>
      <c r="P269" s="19">
        <f ca="1">'1ERA SERVICIOS GENERALES'!R36</f>
        <v>0</v>
      </c>
      <c r="Q269" s="21">
        <f ca="1">'1ERA SERVICIOS GENERALES'!S36</f>
        <v>0</v>
      </c>
    </row>
    <row r="270" spans="1:17" ht="39.75" customHeight="1" thickTop="1" thickBot="1">
      <c r="A270" s="53"/>
      <c r="B270" s="53"/>
      <c r="C270" s="12" t="str">
        <f ca="1">'1ERA SERVICIOS GENERALES'!A37</f>
        <v>NÚMERO DE REPORTES ATENDIDOS</v>
      </c>
      <c r="D270" s="18">
        <f ca="1">'1ERA SERVICIOS GENERALES'!F37</f>
        <v>700</v>
      </c>
      <c r="E270" s="19">
        <f ca="1">'1ERA SERVICIOS GENERALES'!G37</f>
        <v>0</v>
      </c>
      <c r="F270" s="19">
        <f ca="1">'1ERA SERVICIOS GENERALES'!H37</f>
        <v>0</v>
      </c>
      <c r="G270" s="19">
        <f ca="1">'1ERA SERVICIOS GENERALES'!I37</f>
        <v>2</v>
      </c>
      <c r="H270" s="19">
        <f ca="1">'1ERA SERVICIOS GENERALES'!J37</f>
        <v>0</v>
      </c>
      <c r="I270" s="19">
        <f ca="1">'1ERA SERVICIOS GENERALES'!K37</f>
        <v>0</v>
      </c>
      <c r="J270" s="19">
        <f ca="1">'1ERA SERVICIOS GENERALES'!L37</f>
        <v>0</v>
      </c>
      <c r="K270" s="19">
        <f ca="1">'1ERA SERVICIOS GENERALES'!M37</f>
        <v>0</v>
      </c>
      <c r="L270" s="19">
        <f ca="1">'1ERA SERVICIOS GENERALES'!N37</f>
        <v>0</v>
      </c>
      <c r="M270" s="19">
        <f ca="1">'1ERA SERVICIOS GENERALES'!O37</f>
        <v>0</v>
      </c>
      <c r="N270" s="19">
        <f ca="1">'1ERA SERVICIOS GENERALES'!P37</f>
        <v>0</v>
      </c>
      <c r="O270" s="19">
        <f ca="1">'1ERA SERVICIOS GENERALES'!Q37</f>
        <v>2</v>
      </c>
      <c r="P270" s="19">
        <f ca="1">'1ERA SERVICIOS GENERALES'!R37</f>
        <v>3</v>
      </c>
      <c r="Q270" s="21">
        <f ca="1">'1ERA SERVICIOS GENERALES'!S37</f>
        <v>7</v>
      </c>
    </row>
    <row r="271" spans="1:17" ht="39.75" customHeight="1" thickTop="1" thickBot="1">
      <c r="A271" s="53"/>
      <c r="B271" s="53"/>
      <c r="C271" s="12" t="str">
        <f ca="1">'1ERA SERVICIOS GENERALES'!A38</f>
        <v>NÚMERO DE INSPECCIONES</v>
      </c>
      <c r="D271" s="18">
        <f ca="1">'1ERA SERVICIOS GENERALES'!F38</f>
        <v>161000</v>
      </c>
      <c r="E271" s="19">
        <f ca="1">'1ERA SERVICIOS GENERALES'!G38</f>
        <v>6</v>
      </c>
      <c r="F271" s="19">
        <f ca="1">'1ERA SERVICIOS GENERALES'!H38</f>
        <v>340</v>
      </c>
      <c r="G271" s="19">
        <f ca="1">'1ERA SERVICIOS GENERALES'!I38</f>
        <v>364</v>
      </c>
      <c r="H271" s="19">
        <f ca="1">'1ERA SERVICIOS GENERALES'!J38</f>
        <v>0</v>
      </c>
      <c r="I271" s="19">
        <f ca="1">'1ERA SERVICIOS GENERALES'!K38</f>
        <v>0</v>
      </c>
      <c r="J271" s="19">
        <f ca="1">'1ERA SERVICIOS GENERALES'!L38</f>
        <v>0</v>
      </c>
      <c r="K271" s="19">
        <f ca="1">'1ERA SERVICIOS GENERALES'!M38</f>
        <v>0</v>
      </c>
      <c r="L271" s="19">
        <f ca="1">'1ERA SERVICIOS GENERALES'!N38</f>
        <v>0</v>
      </c>
      <c r="M271" s="19">
        <f ca="1">'1ERA SERVICIOS GENERALES'!O38</f>
        <v>0</v>
      </c>
      <c r="N271" s="19">
        <f ca="1">'1ERA SERVICIOS GENERALES'!P38</f>
        <v>310</v>
      </c>
      <c r="O271" s="19">
        <f ca="1">'1ERA SERVICIOS GENERALES'!Q38</f>
        <v>300</v>
      </c>
      <c r="P271" s="19">
        <f ca="1">'1ERA SERVICIOS GENERALES'!R38</f>
        <v>290</v>
      </c>
      <c r="Q271" s="21">
        <f ca="1">'1ERA SERVICIOS GENERALES'!S38</f>
        <v>1610</v>
      </c>
    </row>
    <row r="272" spans="1:17" ht="39.75" customHeight="1" thickTop="1" thickBot="1">
      <c r="A272" s="53"/>
      <c r="B272" s="53"/>
      <c r="C272" s="12" t="str">
        <f ca="1">'1ERA SERVICIOS GENERALES'!A39</f>
        <v>OBRADORES</v>
      </c>
      <c r="D272" s="18">
        <f ca="1">'1ERA SERVICIOS GENERALES'!F39</f>
        <v>33900</v>
      </c>
      <c r="E272" s="19">
        <f ca="1">'1ERA SERVICIOS GENERALES'!G39</f>
        <v>312</v>
      </c>
      <c r="F272" s="19">
        <f ca="1">'1ERA SERVICIOS GENERALES'!H39</f>
        <v>6</v>
      </c>
      <c r="G272" s="19">
        <f ca="1">'1ERA SERVICIOS GENERALES'!I39</f>
        <v>6</v>
      </c>
      <c r="H272" s="19">
        <f ca="1">'1ERA SERVICIOS GENERALES'!J39</f>
        <v>0</v>
      </c>
      <c r="I272" s="19">
        <f ca="1">'1ERA SERVICIOS GENERALES'!K39</f>
        <v>0</v>
      </c>
      <c r="J272" s="19">
        <f ca="1">'1ERA SERVICIOS GENERALES'!L39</f>
        <v>0</v>
      </c>
      <c r="K272" s="19">
        <f ca="1">'1ERA SERVICIOS GENERALES'!M39</f>
        <v>0</v>
      </c>
      <c r="L272" s="19">
        <f ca="1">'1ERA SERVICIOS GENERALES'!N39</f>
        <v>0</v>
      </c>
      <c r="M272" s="19">
        <f ca="1">'1ERA SERVICIOS GENERALES'!O39</f>
        <v>0</v>
      </c>
      <c r="N272" s="19">
        <f ca="1">'1ERA SERVICIOS GENERALES'!P39</f>
        <v>5</v>
      </c>
      <c r="O272" s="19">
        <f ca="1">'1ERA SERVICIOS GENERALES'!Q39</f>
        <v>5</v>
      </c>
      <c r="P272" s="19">
        <f ca="1">'1ERA SERVICIOS GENERALES'!R39</f>
        <v>5</v>
      </c>
      <c r="Q272" s="21">
        <f ca="1">'1ERA SERVICIOS GENERALES'!S39</f>
        <v>339</v>
      </c>
    </row>
    <row r="273" spans="1:17" ht="39.75" customHeight="1" thickTop="1" thickBot="1">
      <c r="A273" s="53"/>
      <c r="B273" s="53"/>
      <c r="C273" s="12" t="str">
        <f ca="1">'1ERA SERVICIOS GENERALES'!A40</f>
        <v>POLLERIAS</v>
      </c>
      <c r="D273" s="18">
        <f ca="1">'1ERA SERVICIOS GENERALES'!F40</f>
        <v>5700</v>
      </c>
      <c r="E273" s="19">
        <f ca="1">'1ERA SERVICIOS GENERALES'!G40</f>
        <v>12</v>
      </c>
      <c r="F273" s="19">
        <f ca="1">'1ERA SERVICIOS GENERALES'!H40</f>
        <v>12</v>
      </c>
      <c r="G273" s="19">
        <f ca="1">'1ERA SERVICIOS GENERALES'!I40</f>
        <v>12</v>
      </c>
      <c r="H273" s="19">
        <f ca="1">'1ERA SERVICIOS GENERALES'!J40</f>
        <v>0</v>
      </c>
      <c r="I273" s="19">
        <f ca="1">'1ERA SERVICIOS GENERALES'!K40</f>
        <v>0</v>
      </c>
      <c r="J273" s="19">
        <f ca="1">'1ERA SERVICIOS GENERALES'!L40</f>
        <v>0</v>
      </c>
      <c r="K273" s="19">
        <f ca="1">'1ERA SERVICIOS GENERALES'!M40</f>
        <v>0</v>
      </c>
      <c r="L273" s="19">
        <f ca="1">'1ERA SERVICIOS GENERALES'!N40</f>
        <v>0</v>
      </c>
      <c r="M273" s="19">
        <f ca="1">'1ERA SERVICIOS GENERALES'!O40</f>
        <v>0</v>
      </c>
      <c r="N273" s="19">
        <f ca="1">'1ERA SERVICIOS GENERALES'!P40</f>
        <v>7</v>
      </c>
      <c r="O273" s="19">
        <f ca="1">'1ERA SERVICIOS GENERALES'!Q40</f>
        <v>7</v>
      </c>
      <c r="P273" s="19">
        <f ca="1">'1ERA SERVICIOS GENERALES'!R40</f>
        <v>7</v>
      </c>
      <c r="Q273" s="21">
        <f ca="1">'1ERA SERVICIOS GENERALES'!S40</f>
        <v>57</v>
      </c>
    </row>
    <row r="274" spans="1:17" ht="39.75" customHeight="1" thickTop="1" thickBot="1">
      <c r="A274" s="53"/>
      <c r="B274" s="53"/>
      <c r="C274" s="12" t="str">
        <f ca="1">'1ERA SERVICIOS GENERALES'!A41</f>
        <v>CARNICERIAS</v>
      </c>
      <c r="D274" s="18">
        <f ca="1">'1ERA SERVICIOS GENERALES'!F41</f>
        <v>25500</v>
      </c>
      <c r="E274" s="19">
        <f ca="1">'1ERA SERVICIOS GENERALES'!G41</f>
        <v>50</v>
      </c>
      <c r="F274" s="19">
        <f ca="1">'1ERA SERVICIOS GENERALES'!H41</f>
        <v>50</v>
      </c>
      <c r="G274" s="19">
        <f ca="1">'1ERA SERVICIOS GENERALES'!I41</f>
        <v>50</v>
      </c>
      <c r="H274" s="19">
        <f ca="1">'1ERA SERVICIOS GENERALES'!J41</f>
        <v>0</v>
      </c>
      <c r="I274" s="19">
        <f ca="1">'1ERA SERVICIOS GENERALES'!K41</f>
        <v>0</v>
      </c>
      <c r="J274" s="19">
        <f ca="1">'1ERA SERVICIOS GENERALES'!L41</f>
        <v>0</v>
      </c>
      <c r="K274" s="19">
        <f ca="1">'1ERA SERVICIOS GENERALES'!M41</f>
        <v>0</v>
      </c>
      <c r="L274" s="19">
        <f ca="1">'1ERA SERVICIOS GENERALES'!N41</f>
        <v>0</v>
      </c>
      <c r="M274" s="19">
        <f ca="1">'1ERA SERVICIOS GENERALES'!O41</f>
        <v>0</v>
      </c>
      <c r="N274" s="19">
        <f ca="1">'1ERA SERVICIOS GENERALES'!P41</f>
        <v>35</v>
      </c>
      <c r="O274" s="19">
        <f ca="1">'1ERA SERVICIOS GENERALES'!Q41</f>
        <v>35</v>
      </c>
      <c r="P274" s="19">
        <f ca="1">'1ERA SERVICIOS GENERALES'!R41</f>
        <v>35</v>
      </c>
      <c r="Q274" s="21">
        <f ca="1">'1ERA SERVICIOS GENERALES'!S41</f>
        <v>255</v>
      </c>
    </row>
    <row r="275" spans="1:17" ht="39.75" customHeight="1" thickTop="1" thickBot="1">
      <c r="A275" s="53"/>
      <c r="B275" s="51"/>
      <c r="C275" s="12" t="str">
        <f ca="1">'1ERA SERVICIOS GENERALES'!A42</f>
        <v>TOTAL DE KG DECOMISADOS</v>
      </c>
      <c r="D275" s="18">
        <f ca="1">'1ERA SERVICIOS GENERALES'!F42</f>
        <v>1500000</v>
      </c>
      <c r="E275" s="19">
        <f ca="1">'1ERA SERVICIOS GENERALES'!G42</f>
        <v>3000</v>
      </c>
      <c r="F275" s="19">
        <f ca="1">'1ERA SERVICIOS GENERALES'!H42</f>
        <v>5000</v>
      </c>
      <c r="G275" s="19">
        <f ca="1">'1ERA SERVICIOS GENERALES'!I42</f>
        <v>7000</v>
      </c>
      <c r="H275" s="19">
        <f ca="1">'1ERA SERVICIOS GENERALES'!J42</f>
        <v>0</v>
      </c>
      <c r="I275" s="19">
        <f ca="1">'1ERA SERVICIOS GENERALES'!K42</f>
        <v>0</v>
      </c>
      <c r="J275" s="19">
        <f ca="1">'1ERA SERVICIOS GENERALES'!L42</f>
        <v>0</v>
      </c>
      <c r="K275" s="19">
        <f ca="1">'1ERA SERVICIOS GENERALES'!M42</f>
        <v>0</v>
      </c>
      <c r="L275" s="19">
        <f ca="1">'1ERA SERVICIOS GENERALES'!N42</f>
        <v>0</v>
      </c>
      <c r="M275" s="19">
        <f ca="1">'1ERA SERVICIOS GENERALES'!O42</f>
        <v>0</v>
      </c>
      <c r="N275" s="19">
        <f ca="1">'1ERA SERVICIOS GENERALES'!P42</f>
        <v>0</v>
      </c>
      <c r="O275" s="19">
        <f ca="1">'1ERA SERVICIOS GENERALES'!Q42</f>
        <v>0</v>
      </c>
      <c r="P275" s="19">
        <f ca="1">'1ERA SERVICIOS GENERALES'!R42</f>
        <v>0</v>
      </c>
      <c r="Q275" s="21">
        <f ca="1">'1ERA SERVICIOS GENERALES'!S42</f>
        <v>15000</v>
      </c>
    </row>
    <row r="276" spans="1:17" ht="39.75" customHeight="1" thickTop="1" thickBot="1">
      <c r="A276" s="53"/>
      <c r="B276" s="52" t="s">
        <v>330</v>
      </c>
      <c r="C276" s="12" t="str">
        <f ca="1">'1ERA SERVICIOS GENERALES'!A43</f>
        <v>MANTENIMIENTO DE LUMINARIAS DELEGACIONES Y COMUNIDADES</v>
      </c>
      <c r="D276" s="18">
        <f ca="1">'1ERA SERVICIOS GENERALES'!F43</f>
        <v>158.020833333333</v>
      </c>
      <c r="E276" s="19">
        <f ca="1">'1ERA SERVICIOS GENERALES'!G43</f>
        <v>300</v>
      </c>
      <c r="F276" s="19">
        <f ca="1">'1ERA SERVICIOS GENERALES'!H43</f>
        <v>250</v>
      </c>
      <c r="G276" s="19">
        <f ca="1">'1ERA SERVICIOS GENERALES'!I43</f>
        <v>150</v>
      </c>
      <c r="H276" s="19">
        <f ca="1">'1ERA SERVICIOS GENERALES'!J43</f>
        <v>0</v>
      </c>
      <c r="I276" s="19">
        <f ca="1">'1ERA SERVICIOS GENERALES'!K43</f>
        <v>86</v>
      </c>
      <c r="J276" s="19">
        <f ca="1">'1ERA SERVICIOS GENERALES'!L43</f>
        <v>93</v>
      </c>
      <c r="K276" s="19">
        <f ca="1">'1ERA SERVICIOS GENERALES'!M43</f>
        <v>58</v>
      </c>
      <c r="L276" s="19">
        <f ca="1">'1ERA SERVICIOS GENERALES'!N43</f>
        <v>322</v>
      </c>
      <c r="M276" s="19">
        <f ca="1">'1ERA SERVICIOS GENERALES'!O43</f>
        <v>38</v>
      </c>
      <c r="N276" s="19">
        <f ca="1">'1ERA SERVICIOS GENERALES'!P43</f>
        <v>103</v>
      </c>
      <c r="O276" s="19">
        <f ca="1">'1ERA SERVICIOS GENERALES'!Q43</f>
        <v>112</v>
      </c>
      <c r="P276" s="19">
        <f ca="1">'1ERA SERVICIOS GENERALES'!R43</f>
        <v>5</v>
      </c>
      <c r="Q276" s="21">
        <f ca="1">'1ERA SERVICIOS GENERALES'!S43</f>
        <v>1517</v>
      </c>
    </row>
    <row r="277" spans="1:17" ht="39.75" customHeight="1" thickTop="1" thickBot="1">
      <c r="A277" s="53"/>
      <c r="B277" s="53"/>
      <c r="C277" s="12" t="str">
        <f ca="1">'1ERA SERVICIOS GENERALES'!A44</f>
        <v>MANTENIMIENTO DE LUMINARIAS EN CABECERA MUNICIPAL</v>
      </c>
      <c r="D277" s="18">
        <f ca="1">'1ERA SERVICIOS GENERALES'!F44</f>
        <v>111.111111111111</v>
      </c>
      <c r="E277" s="19">
        <f ca="1">'1ERA SERVICIOS GENERALES'!G44</f>
        <v>100</v>
      </c>
      <c r="F277" s="19">
        <f ca="1">'1ERA SERVICIOS GENERALES'!H44</f>
        <v>85</v>
      </c>
      <c r="G277" s="19">
        <f ca="1">'1ERA SERVICIOS GENERALES'!I44</f>
        <v>20</v>
      </c>
      <c r="H277" s="19">
        <f ca="1">'1ERA SERVICIOS GENERALES'!J44</f>
        <v>0</v>
      </c>
      <c r="I277" s="19">
        <f ca="1">'1ERA SERVICIOS GENERALES'!K44</f>
        <v>97</v>
      </c>
      <c r="J277" s="19">
        <f ca="1">'1ERA SERVICIOS GENERALES'!L44</f>
        <v>83</v>
      </c>
      <c r="K277" s="19">
        <f ca="1">'1ERA SERVICIOS GENERALES'!M44</f>
        <v>131</v>
      </c>
      <c r="L277" s="19">
        <f ca="1">'1ERA SERVICIOS GENERALES'!N44</f>
        <v>184</v>
      </c>
      <c r="M277" s="19">
        <f ca="1">'1ERA SERVICIOS GENERALES'!O44</f>
        <v>92</v>
      </c>
      <c r="N277" s="19">
        <f ca="1">'1ERA SERVICIOS GENERALES'!P44</f>
        <v>159</v>
      </c>
      <c r="O277" s="19">
        <f ca="1">'1ERA SERVICIOS GENERALES'!Q44</f>
        <v>174</v>
      </c>
      <c r="P277" s="19">
        <f ca="1">'1ERA SERVICIOS GENERALES'!R44</f>
        <v>75</v>
      </c>
      <c r="Q277" s="21">
        <f ca="1">'1ERA SERVICIOS GENERALES'!S44</f>
        <v>1200</v>
      </c>
    </row>
    <row r="278" spans="1:17" ht="39.75" customHeight="1" thickTop="1" thickBot="1">
      <c r="A278" s="53"/>
      <c r="B278" s="53"/>
      <c r="C278" s="12" t="str">
        <f ca="1">'1ERA SERVICIOS GENERALES'!A45</f>
        <v>INSTALACIÓN DE LÁMPARAS NUEVAS DELEGACIONES Y COMUNIDADES</v>
      </c>
      <c r="D278" s="18">
        <f ca="1">'1ERA SERVICIOS GENERALES'!F45</f>
        <v>234.52380952380901</v>
      </c>
      <c r="E278" s="19">
        <f ca="1">'1ERA SERVICIOS GENERALES'!G45</f>
        <v>10</v>
      </c>
      <c r="F278" s="19">
        <f ca="1">'1ERA SERVICIOS GENERALES'!H45</f>
        <v>20</v>
      </c>
      <c r="G278" s="19">
        <f ca="1">'1ERA SERVICIOS GENERALES'!I45</f>
        <v>5</v>
      </c>
      <c r="H278" s="19">
        <f ca="1">'1ERA SERVICIOS GENERALES'!J45</f>
        <v>0</v>
      </c>
      <c r="I278" s="19">
        <f ca="1">'1ERA SERVICIOS GENERALES'!K45</f>
        <v>0</v>
      </c>
      <c r="J278" s="19">
        <f ca="1">'1ERA SERVICIOS GENERALES'!L45</f>
        <v>9</v>
      </c>
      <c r="K278" s="19">
        <f ca="1">'1ERA SERVICIOS GENERALES'!M45</f>
        <v>4</v>
      </c>
      <c r="L278" s="19">
        <f ca="1">'1ERA SERVICIOS GENERALES'!N45</f>
        <v>4</v>
      </c>
      <c r="M278" s="19">
        <f ca="1">'1ERA SERVICIOS GENERALES'!O45</f>
        <v>20</v>
      </c>
      <c r="N278" s="19">
        <f ca="1">'1ERA SERVICIOS GENERALES'!P45</f>
        <v>63</v>
      </c>
      <c r="O278" s="19">
        <f ca="1">'1ERA SERVICIOS GENERALES'!Q45</f>
        <v>47</v>
      </c>
      <c r="P278" s="19">
        <f ca="1">'1ERA SERVICIOS GENERALES'!R45</f>
        <v>15</v>
      </c>
      <c r="Q278" s="21">
        <f ca="1">'1ERA SERVICIOS GENERALES'!S45</f>
        <v>197</v>
      </c>
    </row>
    <row r="279" spans="1:17" ht="39.75" customHeight="1" thickTop="1" thickBot="1">
      <c r="A279" s="53"/>
      <c r="B279" s="53"/>
      <c r="C279" s="12" t="str">
        <f ca="1">'1ERA SERVICIOS GENERALES'!A46</f>
        <v>INSTALACIÓN DE LÁMPARAS NUEVAS CABECERA MUNICIPAL</v>
      </c>
      <c r="D279" s="18">
        <f ca="1">'1ERA SERVICIOS GENERALES'!F46</f>
        <v>98.3333333333333</v>
      </c>
      <c r="E279" s="19">
        <f ca="1">'1ERA SERVICIOS GENERALES'!G46</f>
        <v>5</v>
      </c>
      <c r="F279" s="19">
        <f ca="1">'1ERA SERVICIOS GENERALES'!H46</f>
        <v>5</v>
      </c>
      <c r="G279" s="19">
        <f ca="1">'1ERA SERVICIOS GENERALES'!I46</f>
        <v>0</v>
      </c>
      <c r="H279" s="19">
        <f ca="1">'1ERA SERVICIOS GENERALES'!J46</f>
        <v>0</v>
      </c>
      <c r="I279" s="19">
        <f ca="1">'1ERA SERVICIOS GENERALES'!K46</f>
        <v>5</v>
      </c>
      <c r="J279" s="19">
        <f ca="1">'1ERA SERVICIOS GENERALES'!L46</f>
        <v>0</v>
      </c>
      <c r="K279" s="19">
        <f ca="1">'1ERA SERVICIOS GENERALES'!M46</f>
        <v>5</v>
      </c>
      <c r="L279" s="19">
        <f ca="1">'1ERA SERVICIOS GENERALES'!N46</f>
        <v>8</v>
      </c>
      <c r="M279" s="19">
        <f ca="1">'1ERA SERVICIOS GENERALES'!O46</f>
        <v>1</v>
      </c>
      <c r="N279" s="19">
        <f ca="1">'1ERA SERVICIOS GENERALES'!P46</f>
        <v>18</v>
      </c>
      <c r="O279" s="19">
        <f ca="1">'1ERA SERVICIOS GENERALES'!Q46</f>
        <v>3</v>
      </c>
      <c r="P279" s="19">
        <f ca="1">'1ERA SERVICIOS GENERALES'!R46</f>
        <v>9</v>
      </c>
      <c r="Q279" s="21">
        <f ca="1">'1ERA SERVICIOS GENERALES'!S46</f>
        <v>59</v>
      </c>
    </row>
    <row r="280" spans="1:17" ht="39.75" customHeight="1" thickTop="1" thickBot="1">
      <c r="A280" s="53"/>
      <c r="B280" s="53"/>
      <c r="C280" s="12" t="str">
        <f ca="1">'1ERA SERVICIOS GENERALES'!A47</f>
        <v>NÚMERO DE SOLICITUDES PARA LÁMPARAS NUEVAS</v>
      </c>
      <c r="D280" s="18">
        <f ca="1">'1ERA SERVICIOS GENERALES'!F47</f>
        <v>138.333333333333</v>
      </c>
      <c r="E280" s="19">
        <f ca="1">'1ERA SERVICIOS GENERALES'!G47</f>
        <v>10</v>
      </c>
      <c r="F280" s="19">
        <f ca="1">'1ERA SERVICIOS GENERALES'!H47</f>
        <v>8</v>
      </c>
      <c r="G280" s="19">
        <f ca="1">'1ERA SERVICIOS GENERALES'!I47</f>
        <v>5</v>
      </c>
      <c r="H280" s="19">
        <f ca="1">'1ERA SERVICIOS GENERALES'!J47</f>
        <v>0</v>
      </c>
      <c r="I280" s="19">
        <f ca="1">'1ERA SERVICIOS GENERALES'!K47</f>
        <v>6</v>
      </c>
      <c r="J280" s="19">
        <f ca="1">'1ERA SERVICIOS GENERALES'!L47</f>
        <v>5</v>
      </c>
      <c r="K280" s="19">
        <f ca="1">'1ERA SERVICIOS GENERALES'!M47</f>
        <v>5</v>
      </c>
      <c r="L280" s="19">
        <f ca="1">'1ERA SERVICIOS GENERALES'!N47</f>
        <v>18</v>
      </c>
      <c r="M280" s="19">
        <f ca="1">'1ERA SERVICIOS GENERALES'!O47</f>
        <v>7</v>
      </c>
      <c r="N280" s="19">
        <f ca="1">'1ERA SERVICIOS GENERALES'!P47</f>
        <v>15</v>
      </c>
      <c r="O280" s="19">
        <f ca="1">'1ERA SERVICIOS GENERALES'!Q47</f>
        <v>4</v>
      </c>
      <c r="P280" s="19">
        <f ca="1">'1ERA SERVICIOS GENERALES'!R47</f>
        <v>0</v>
      </c>
      <c r="Q280" s="21">
        <f ca="1">'1ERA SERVICIOS GENERALES'!S47</f>
        <v>83</v>
      </c>
    </row>
    <row r="281" spans="1:17" ht="39.75" customHeight="1" thickTop="1" thickBot="1">
      <c r="A281" s="53"/>
      <c r="B281" s="53"/>
      <c r="C281" s="12" t="str">
        <f ca="1">'1ERA SERVICIOS GENERALES'!A48</f>
        <v>censo actual de LUMINARIAS</v>
      </c>
      <c r="D281" s="18">
        <f ca="1">'1ERA SERVICIOS GENERALES'!F48</f>
        <v>20.207843137254901</v>
      </c>
      <c r="E281" s="19">
        <f ca="1">'1ERA SERVICIOS GENERALES'!G48</f>
        <v>8000</v>
      </c>
      <c r="F281" s="19">
        <f ca="1">'1ERA SERVICIOS GENERALES'!H48</f>
        <v>8000</v>
      </c>
      <c r="G281" s="19">
        <f ca="1">'1ERA SERVICIOS GENERALES'!I48</f>
        <v>8000</v>
      </c>
      <c r="H281" s="19">
        <f ca="1">'1ERA SERVICIOS GENERALES'!J48</f>
        <v>0</v>
      </c>
      <c r="I281" s="19">
        <f ca="1">'1ERA SERVICIOS GENERALES'!K48</f>
        <v>0</v>
      </c>
      <c r="J281" s="19">
        <f ca="1">'1ERA SERVICIOS GENERALES'!L48</f>
        <v>0</v>
      </c>
      <c r="K281" s="19">
        <f ca="1">'1ERA SERVICIOS GENERALES'!M48</f>
        <v>0</v>
      </c>
      <c r="L281" s="19">
        <f ca="1">'1ERA SERVICIOS GENERALES'!N48</f>
        <v>17224</v>
      </c>
      <c r="M281" s="19">
        <f ca="1">'1ERA SERVICIOS GENERALES'!O48</f>
        <v>0</v>
      </c>
      <c r="N281" s="19">
        <f ca="1">'1ERA SERVICIOS GENERALES'!P48</f>
        <v>0</v>
      </c>
      <c r="O281" s="19">
        <f ca="1">'1ERA SERVICIOS GENERALES'!Q48</f>
        <v>0</v>
      </c>
      <c r="P281" s="19">
        <f ca="1">'1ERA SERVICIOS GENERALES'!R48</f>
        <v>0</v>
      </c>
      <c r="Q281" s="21">
        <f ca="1">'1ERA SERVICIOS GENERALES'!S48</f>
        <v>3435.3333333333298</v>
      </c>
    </row>
    <row r="282" spans="1:17" ht="39.75" customHeight="1" thickTop="1" thickBot="1">
      <c r="A282" s="53"/>
      <c r="B282" s="53"/>
      <c r="C282" s="12" t="str">
        <f ca="1">'1ERA SERVICIOS GENERALES'!A49</f>
        <v>ACTIVIDADES EXTRAS (MANTENIMIENTO ELÉCTRICO DE EDIFICIOS PÚBLICOS, APOYO A EVENTOS)</v>
      </c>
      <c r="D282" s="18">
        <f ca="1">'1ERA SERVICIOS GENERALES'!F49</f>
        <v>100.625</v>
      </c>
      <c r="E282" s="19">
        <f ca="1">'1ERA SERVICIOS GENERALES'!G49</f>
        <v>0</v>
      </c>
      <c r="F282" s="19">
        <f ca="1">'1ERA SERVICIOS GENERALES'!H49</f>
        <v>0</v>
      </c>
      <c r="G282" s="19">
        <f ca="1">'1ERA SERVICIOS GENERALES'!I49</f>
        <v>0</v>
      </c>
      <c r="H282" s="19">
        <f ca="1">'1ERA SERVICIOS GENERALES'!J49</f>
        <v>0</v>
      </c>
      <c r="I282" s="19">
        <f ca="1">'1ERA SERVICIOS GENERALES'!K49</f>
        <v>15</v>
      </c>
      <c r="J282" s="19">
        <f ca="1">'1ERA SERVICIOS GENERALES'!L49</f>
        <v>7</v>
      </c>
      <c r="K282" s="19">
        <f ca="1">'1ERA SERVICIOS GENERALES'!M49</f>
        <v>56</v>
      </c>
      <c r="L282" s="19">
        <f ca="1">'1ERA SERVICIOS GENERALES'!N49</f>
        <v>186</v>
      </c>
      <c r="M282" s="19">
        <f ca="1">'1ERA SERVICIOS GENERALES'!O49</f>
        <v>78</v>
      </c>
      <c r="N282" s="19">
        <f ca="1">'1ERA SERVICIOS GENERALES'!P49</f>
        <v>42</v>
      </c>
      <c r="O282" s="19">
        <f ca="1">'1ERA SERVICIOS GENERALES'!Q49</f>
        <v>41</v>
      </c>
      <c r="P282" s="19">
        <f ca="1">'1ERA SERVICIOS GENERALES'!R49</f>
        <v>58</v>
      </c>
      <c r="Q282" s="21">
        <f ca="1">'1ERA SERVICIOS GENERALES'!S49</f>
        <v>483</v>
      </c>
    </row>
    <row r="283" spans="1:17" ht="39.75" customHeight="1" thickTop="1" thickBot="1">
      <c r="A283" s="53"/>
      <c r="B283" s="51"/>
      <c r="C283" s="12" t="str">
        <f ca="1">'1ERA SERVICIOS GENERALES'!A50</f>
        <v>PADRON DE LUMINARIA NO FUNCIONAL(REPORTE CIUDADANO)</v>
      </c>
      <c r="D283" s="18">
        <f ca="1">'1ERA SERVICIOS GENERALES'!F50</f>
        <v>117.333333333333</v>
      </c>
      <c r="E283" s="19">
        <f ca="1">'1ERA SERVICIOS GENERALES'!G50</f>
        <v>50</v>
      </c>
      <c r="F283" s="19">
        <f ca="1">'1ERA SERVICIOS GENERALES'!H50</f>
        <v>60</v>
      </c>
      <c r="G283" s="19">
        <f ca="1">'1ERA SERVICIOS GENERALES'!I50</f>
        <v>35</v>
      </c>
      <c r="H283" s="19">
        <f ca="1">'1ERA SERVICIOS GENERALES'!J50</f>
        <v>0</v>
      </c>
      <c r="I283" s="19">
        <f ca="1">'1ERA SERVICIOS GENERALES'!K50</f>
        <v>0</v>
      </c>
      <c r="J283" s="19">
        <f ca="1">'1ERA SERVICIOS GENERALES'!L50</f>
        <v>0</v>
      </c>
      <c r="K283" s="19">
        <f ca="1">'1ERA SERVICIOS GENERALES'!M50</f>
        <v>189</v>
      </c>
      <c r="L283" s="19">
        <f ca="1">'1ERA SERVICIOS GENERALES'!N50</f>
        <v>506</v>
      </c>
      <c r="M283" s="19">
        <f ca="1">'1ERA SERVICIOS GENERALES'!O50</f>
        <v>130</v>
      </c>
      <c r="N283" s="19">
        <f ca="1">'1ERA SERVICIOS GENERALES'!P50</f>
        <v>211</v>
      </c>
      <c r="O283" s="19">
        <f ca="1">'1ERA SERVICIOS GENERALES'!Q50</f>
        <v>165</v>
      </c>
      <c r="P283" s="19">
        <f ca="1">'1ERA SERVICIOS GENERALES'!R50</f>
        <v>62</v>
      </c>
      <c r="Q283" s="21">
        <f ca="1">'1ERA SERVICIOS GENERALES'!S50</f>
        <v>117.333333333333</v>
      </c>
    </row>
    <row r="284" spans="1:17" ht="39.75" customHeight="1" thickTop="1" thickBot="1">
      <c r="A284" s="53"/>
      <c r="B284" s="52" t="s">
        <v>339</v>
      </c>
      <c r="C284" s="12" t="str">
        <f ca="1">'1ERA SERVICIOS GENERALES'!A51</f>
        <v>VIGILANCIA EN VERTEDERO MUNICIPAL (TONELADAS VERTIDAS POR MES)</v>
      </c>
      <c r="D284" s="18">
        <f ca="1">'1ERA SERVICIOS GENERALES'!F51</f>
        <v>35.75</v>
      </c>
      <c r="E284" s="19">
        <f ca="1">'1ERA SERVICIOS GENERALES'!G51</f>
        <v>0</v>
      </c>
      <c r="F284" s="19">
        <f ca="1">'1ERA SERVICIOS GENERALES'!H51</f>
        <v>0</v>
      </c>
      <c r="G284" s="19">
        <f ca="1">'1ERA SERVICIOS GENERALES'!I51</f>
        <v>0</v>
      </c>
      <c r="H284" s="19">
        <f ca="1">'1ERA SERVICIOS GENERALES'!J51</f>
        <v>0</v>
      </c>
      <c r="I284" s="19">
        <f ca="1">'1ERA SERVICIOS GENERALES'!K51</f>
        <v>0</v>
      </c>
      <c r="J284" s="19">
        <f ca="1">'1ERA SERVICIOS GENERALES'!L51</f>
        <v>0</v>
      </c>
      <c r="K284" s="19">
        <f ca="1">'1ERA SERVICIOS GENERALES'!M51</f>
        <v>189</v>
      </c>
      <c r="L284" s="19">
        <f ca="1">'1ERA SERVICIOS GENERALES'!N51</f>
        <v>253</v>
      </c>
      <c r="M284" s="19">
        <f ca="1">'1ERA SERVICIOS GENERALES'!O51</f>
        <v>130</v>
      </c>
      <c r="N284" s="19">
        <f ca="1">'1ERA SERVICIOS GENERALES'!P51</f>
        <v>0</v>
      </c>
      <c r="O284" s="19">
        <f ca="1">'1ERA SERVICIOS GENERALES'!Q51</f>
        <v>0</v>
      </c>
      <c r="P284" s="19">
        <f ca="1">'1ERA SERVICIOS GENERALES'!R51</f>
        <v>0</v>
      </c>
      <c r="Q284" s="21">
        <f ca="1">'1ERA SERVICIOS GENERALES'!S51</f>
        <v>572</v>
      </c>
    </row>
    <row r="285" spans="1:17" ht="39.75" customHeight="1" thickTop="1" thickBot="1">
      <c r="A285" s="53"/>
      <c r="B285" s="53"/>
      <c r="C285" s="12" t="str">
        <f ca="1">'1ERA SERVICIOS GENERALES'!A52</f>
        <v>NÚMERO DE CALLES ASEADAS</v>
      </c>
      <c r="D285" s="18">
        <f ca="1">'1ERA SERVICIOS GENERALES'!F52</f>
        <v>25.925176056338</v>
      </c>
      <c r="E285" s="19">
        <f ca="1">'1ERA SERVICIOS GENERALES'!G52</f>
        <v>0</v>
      </c>
      <c r="F285" s="19">
        <f ca="1">'1ERA SERVICIOS GENERALES'!H52</f>
        <v>0</v>
      </c>
      <c r="G285" s="19">
        <f ca="1">'1ERA SERVICIOS GENERALES'!I52</f>
        <v>0</v>
      </c>
      <c r="H285" s="19">
        <f ca="1">'1ERA SERVICIOS GENERALES'!J52</f>
        <v>147284</v>
      </c>
      <c r="I285" s="19">
        <f ca="1">'1ERA SERVICIOS GENERALES'!K52</f>
        <v>146275</v>
      </c>
      <c r="J285" s="19">
        <f ca="1">'1ERA SERVICIOS GENERALES'!L52</f>
        <v>148206</v>
      </c>
      <c r="K285" s="19">
        <f ca="1">'1ERA SERVICIOS GENERALES'!M52</f>
        <v>0</v>
      </c>
      <c r="L285" s="19">
        <f ca="1">'1ERA SERVICIOS GENERALES'!N52</f>
        <v>0</v>
      </c>
      <c r="M285" s="19">
        <f ca="1">'1ERA SERVICIOS GENERALES'!O52</f>
        <v>0</v>
      </c>
      <c r="N285" s="19">
        <f ca="1">'1ERA SERVICIOS GENERALES'!P52</f>
        <v>0</v>
      </c>
      <c r="O285" s="19">
        <f ca="1">'1ERA SERVICIOS GENERALES'!Q52</f>
        <v>0</v>
      </c>
      <c r="P285" s="19">
        <f ca="1">'1ERA SERVICIOS GENERALES'!R52</f>
        <v>0</v>
      </c>
      <c r="Q285" s="21">
        <f ca="1">'1ERA SERVICIOS GENERALES'!S52</f>
        <v>441765</v>
      </c>
    </row>
    <row r="286" spans="1:17" ht="39.75" customHeight="1" thickTop="1" thickBot="1">
      <c r="A286" s="53"/>
      <c r="B286" s="51"/>
      <c r="C286" s="12" t="str">
        <f ca="1">'1ERA SERVICIOS GENERALES'!A53</f>
        <v>TONELADAS RECOLECTADAS</v>
      </c>
      <c r="D286" s="18">
        <f ca="1">'1ERA SERVICIOS GENERALES'!F53</f>
        <v>95</v>
      </c>
      <c r="E286" s="19">
        <f ca="1">'1ERA SERVICIOS GENERALES'!G53</f>
        <v>12</v>
      </c>
      <c r="F286" s="19">
        <f ca="1">'1ERA SERVICIOS GENERALES'!H53</f>
        <v>15</v>
      </c>
      <c r="G286" s="19">
        <f ca="1">'1ERA SERVICIOS GENERALES'!I53</f>
        <v>15</v>
      </c>
      <c r="H286" s="19">
        <f ca="1">'1ERA SERVICIOS GENERALES'!J53</f>
        <v>21</v>
      </c>
      <c r="I286" s="19">
        <f ca="1">'1ERA SERVICIOS GENERALES'!K53</f>
        <v>21</v>
      </c>
      <c r="J286" s="19">
        <f ca="1">'1ERA SERVICIOS GENERALES'!L53</f>
        <v>21</v>
      </c>
      <c r="K286" s="19">
        <f ca="1">'1ERA SERVICIOS GENERALES'!M53</f>
        <v>30</v>
      </c>
      <c r="L286" s="19">
        <f ca="1">'1ERA SERVICIOS GENERALES'!N53</f>
        <v>30</v>
      </c>
      <c r="M286" s="19">
        <f ca="1">'1ERA SERVICIOS GENERALES'!O53</f>
        <v>30</v>
      </c>
      <c r="N286" s="19">
        <f ca="1">'1ERA SERVICIOS GENERALES'!P53</f>
        <v>30</v>
      </c>
      <c r="O286" s="19">
        <f ca="1">'1ERA SERVICIOS GENERALES'!Q53</f>
        <v>30</v>
      </c>
      <c r="P286" s="19">
        <f ca="1">'1ERA SERVICIOS GENERALES'!R53</f>
        <v>30</v>
      </c>
      <c r="Q286" s="21">
        <f ca="1">'1ERA SERVICIOS GENERALES'!S53</f>
        <v>285</v>
      </c>
    </row>
    <row r="287" spans="1:17" ht="39.75" customHeight="1" thickTop="1" thickBot="1">
      <c r="A287" s="53"/>
      <c r="B287" s="52" t="s">
        <v>343</v>
      </c>
      <c r="C287" s="12" t="str">
        <f ca="1">'1ERA SERVICIOS GENERALES'!A54</f>
        <v>REPARACIÓN DE SUSPENSIONES</v>
      </c>
      <c r="D287" s="18">
        <f ca="1">'1ERA SERVICIOS GENERALES'!F54</f>
        <v>1243.82142857142</v>
      </c>
      <c r="E287" s="19">
        <f ca="1">'1ERA SERVICIOS GENERALES'!G54</f>
        <v>124</v>
      </c>
      <c r="F287" s="19">
        <f ca="1">'1ERA SERVICIOS GENERALES'!H54</f>
        <v>124</v>
      </c>
      <c r="G287" s="19">
        <f ca="1">'1ERA SERVICIOS GENERALES'!I54</f>
        <v>124</v>
      </c>
      <c r="H287" s="19">
        <f ca="1">'1ERA SERVICIOS GENERALES'!J54</f>
        <v>147284</v>
      </c>
      <c r="I287" s="19">
        <f ca="1">'1ERA SERVICIOS GENERALES'!K54</f>
        <v>146275</v>
      </c>
      <c r="J287" s="19">
        <f ca="1">'1ERA SERVICIOS GENERALES'!L54</f>
        <v>148206</v>
      </c>
      <c r="K287" s="19">
        <f ca="1">'1ERA SERVICIOS GENERALES'!M54</f>
        <v>158</v>
      </c>
      <c r="L287" s="19">
        <f ca="1">'1ERA SERVICIOS GENERALES'!N54</f>
        <v>161</v>
      </c>
      <c r="M287" s="19">
        <f ca="1">'1ERA SERVICIOS GENERALES'!O54</f>
        <v>164</v>
      </c>
      <c r="N287" s="19">
        <f ca="1">'1ERA SERVICIOS GENERALES'!P54</f>
        <v>169398</v>
      </c>
      <c r="O287" s="19">
        <f ca="1">'1ERA SERVICIOS GENERALES'!Q54</f>
        <v>165397</v>
      </c>
      <c r="P287" s="19">
        <f ca="1">'1ERA SERVICIOS GENERALES'!R54</f>
        <v>267395</v>
      </c>
      <c r="Q287" s="21">
        <f ca="1">'1ERA SERVICIOS GENERALES'!S54</f>
        <v>1044810</v>
      </c>
    </row>
    <row r="288" spans="1:17" ht="39.75" customHeight="1" thickTop="1" thickBot="1">
      <c r="A288" s="53"/>
      <c r="B288" s="53"/>
      <c r="C288" s="12" t="str">
        <f ca="1">'1ERA SERVICIOS GENERALES'!A55</f>
        <v>REPARACIONES VARIAS</v>
      </c>
      <c r="D288" s="18">
        <f ca="1">'1ERA SERVICIOS GENERALES'!F55</f>
        <v>63.8888888888888</v>
      </c>
      <c r="E288" s="19">
        <f ca="1">'1ERA SERVICIOS GENERALES'!G55</f>
        <v>0</v>
      </c>
      <c r="F288" s="19">
        <f ca="1">'1ERA SERVICIOS GENERALES'!H55</f>
        <v>0</v>
      </c>
      <c r="G288" s="19">
        <f ca="1">'1ERA SERVICIOS GENERALES'!I55</f>
        <v>0</v>
      </c>
      <c r="H288" s="19">
        <f ca="1">'1ERA SERVICIOS GENERALES'!J55</f>
        <v>8</v>
      </c>
      <c r="I288" s="19">
        <f ca="1">'1ERA SERVICIOS GENERALES'!K55</f>
        <v>6</v>
      </c>
      <c r="J288" s="19">
        <f ca="1">'1ERA SERVICIOS GENERALES'!L55</f>
        <v>8</v>
      </c>
      <c r="K288" s="19">
        <f ca="1">'1ERA SERVICIOS GENERALES'!M55</f>
        <v>17</v>
      </c>
      <c r="L288" s="19">
        <f ca="1">'1ERA SERVICIOS GENERALES'!N55</f>
        <v>8</v>
      </c>
      <c r="M288" s="19">
        <f ca="1">'1ERA SERVICIOS GENERALES'!O55</f>
        <v>18</v>
      </c>
      <c r="N288" s="19">
        <f ca="1">'1ERA SERVICIOS GENERALES'!P55</f>
        <v>7</v>
      </c>
      <c r="O288" s="19">
        <f ca="1">'1ERA SERVICIOS GENERALES'!Q55</f>
        <v>17</v>
      </c>
      <c r="P288" s="19">
        <f ca="1">'1ERA SERVICIOS GENERALES'!R55</f>
        <v>3</v>
      </c>
      <c r="Q288" s="21">
        <f ca="1">'1ERA SERVICIOS GENERALES'!S55</f>
        <v>92</v>
      </c>
    </row>
    <row r="289" spans="1:17" ht="39.75" customHeight="1" thickTop="1" thickBot="1">
      <c r="A289" s="53"/>
      <c r="B289" s="53"/>
      <c r="C289" s="12" t="str">
        <f ca="1">'1ERA SERVICIOS GENERALES'!A56</f>
        <v>REVISIÓN DE NIVELES (DIARIO)</v>
      </c>
      <c r="D289" s="18">
        <f ca="1">'1ERA SERVICIOS GENERALES'!F56</f>
        <v>109.027777777777</v>
      </c>
      <c r="E289" s="19">
        <f ca="1">'1ERA SERVICIOS GENERALES'!G56</f>
        <v>0</v>
      </c>
      <c r="F289" s="19">
        <f ca="1">'1ERA SERVICIOS GENERALES'!H56</f>
        <v>0</v>
      </c>
      <c r="G289" s="19">
        <f ca="1">'1ERA SERVICIOS GENERALES'!I56</f>
        <v>0</v>
      </c>
      <c r="H289" s="19">
        <f ca="1">'1ERA SERVICIOS GENERALES'!J56</f>
        <v>14</v>
      </c>
      <c r="I289" s="19">
        <f ca="1">'1ERA SERVICIOS GENERALES'!K56</f>
        <v>15</v>
      </c>
      <c r="J289" s="19">
        <f ca="1">'1ERA SERVICIOS GENERALES'!L56</f>
        <v>13</v>
      </c>
      <c r="K289" s="19">
        <f ca="1">'1ERA SERVICIOS GENERALES'!M56</f>
        <v>18</v>
      </c>
      <c r="L289" s="19">
        <f ca="1">'1ERA SERVICIOS GENERALES'!N56</f>
        <v>21</v>
      </c>
      <c r="M289" s="19">
        <f ca="1">'1ERA SERVICIOS GENERALES'!O56</f>
        <v>19</v>
      </c>
      <c r="N289" s="19">
        <f ca="1">'1ERA SERVICIOS GENERALES'!P56</f>
        <v>22</v>
      </c>
      <c r="O289" s="19">
        <f ca="1">'1ERA SERVICIOS GENERALES'!Q56</f>
        <v>21</v>
      </c>
      <c r="P289" s="19">
        <f ca="1">'1ERA SERVICIOS GENERALES'!R56</f>
        <v>14</v>
      </c>
      <c r="Q289" s="21">
        <f ca="1">'1ERA SERVICIOS GENERALES'!S56</f>
        <v>157</v>
      </c>
    </row>
    <row r="290" spans="1:17" ht="39.75" customHeight="1" thickTop="1" thickBot="1">
      <c r="A290" s="53"/>
      <c r="B290" s="53"/>
      <c r="C290" s="12" t="str">
        <f ca="1">'1ERA SERVICIOS GENERALES'!A57</f>
        <v>REPARACIONES ELÉCTRICAS</v>
      </c>
      <c r="D290" s="18">
        <f ca="1">'1ERA SERVICIOS GENERALES'!F57</f>
        <v>67.7083333333333</v>
      </c>
      <c r="E290" s="19">
        <f ca="1">'1ERA SERVICIOS GENERALES'!G57</f>
        <v>0</v>
      </c>
      <c r="F290" s="19">
        <f ca="1">'1ERA SERVICIOS GENERALES'!H57</f>
        <v>0</v>
      </c>
      <c r="G290" s="19">
        <f ca="1">'1ERA SERVICIOS GENERALES'!I57</f>
        <v>0</v>
      </c>
      <c r="H290" s="19">
        <f ca="1">'1ERA SERVICIOS GENERALES'!J57</f>
        <v>20</v>
      </c>
      <c r="I290" s="19">
        <f ca="1">'1ERA SERVICIOS GENERALES'!K57</f>
        <v>18</v>
      </c>
      <c r="J290" s="19">
        <f ca="1">'1ERA SERVICIOS GENERALES'!L57</f>
        <v>25</v>
      </c>
      <c r="K290" s="19">
        <f ca="1">'1ERA SERVICIOS GENERALES'!M57</f>
        <v>28</v>
      </c>
      <c r="L290" s="19">
        <f ca="1">'1ERA SERVICIOS GENERALES'!N57</f>
        <v>0</v>
      </c>
      <c r="M290" s="19">
        <f ca="1">'1ERA SERVICIOS GENERALES'!O57</f>
        <v>14</v>
      </c>
      <c r="N290" s="19">
        <f ca="1">'1ERA SERVICIOS GENERALES'!P57</f>
        <v>6</v>
      </c>
      <c r="O290" s="19">
        <f ca="1">'1ERA SERVICIOS GENERALES'!Q57</f>
        <v>18</v>
      </c>
      <c r="P290" s="19">
        <f ca="1">'1ERA SERVICIOS GENERALES'!R57</f>
        <v>1</v>
      </c>
      <c r="Q290" s="21">
        <f ca="1">'1ERA SERVICIOS GENERALES'!S57</f>
        <v>130</v>
      </c>
    </row>
    <row r="291" spans="1:17" ht="39.75" customHeight="1" thickTop="1" thickBot="1">
      <c r="A291" s="53"/>
      <c r="B291" s="53"/>
      <c r="C291" s="12" t="str">
        <f ca="1">'1ERA SERVICIOS GENERALES'!A58</f>
        <v>REPARACION DE VEHICULOS EN TALLER MUNICIPAL</v>
      </c>
      <c r="D291" s="18">
        <f ca="1">'1ERA SERVICIOS GENERALES'!F58</f>
        <v>63.3333333333333</v>
      </c>
      <c r="E291" s="19">
        <f ca="1">'1ERA SERVICIOS GENERALES'!G58</f>
        <v>0</v>
      </c>
      <c r="F291" s="19">
        <f ca="1">'1ERA SERVICIOS GENERALES'!H58</f>
        <v>0</v>
      </c>
      <c r="G291" s="19">
        <f ca="1">'1ERA SERVICIOS GENERALES'!I58</f>
        <v>0</v>
      </c>
      <c r="H291" s="19">
        <f ca="1">'1ERA SERVICIOS GENERALES'!J58</f>
        <v>23</v>
      </c>
      <c r="I291" s="19">
        <f ca="1">'1ERA SERVICIOS GENERALES'!K58</f>
        <v>10</v>
      </c>
      <c r="J291" s="19">
        <f ca="1">'1ERA SERVICIOS GENERALES'!L58</f>
        <v>22</v>
      </c>
      <c r="K291" s="19">
        <f ca="1">'1ERA SERVICIOS GENERALES'!M58</f>
        <v>17</v>
      </c>
      <c r="L291" s="19">
        <f ca="1">'1ERA SERVICIOS GENERALES'!N58</f>
        <v>15</v>
      </c>
      <c r="M291" s="19">
        <f ca="1">'1ERA SERVICIOS GENERALES'!O58</f>
        <v>16</v>
      </c>
      <c r="N291" s="19">
        <f ca="1">'1ERA SERVICIOS GENERALES'!P58</f>
        <v>12</v>
      </c>
      <c r="O291" s="19">
        <f ca="1">'1ERA SERVICIOS GENERALES'!Q58</f>
        <v>14</v>
      </c>
      <c r="P291" s="19">
        <f ca="1">'1ERA SERVICIOS GENERALES'!R58</f>
        <v>23</v>
      </c>
      <c r="Q291" s="21">
        <f ca="1">'1ERA SERVICIOS GENERALES'!S58</f>
        <v>152</v>
      </c>
    </row>
    <row r="292" spans="1:17" ht="39.75" customHeight="1" thickTop="1" thickBot="1">
      <c r="A292" s="53"/>
      <c r="B292" s="53"/>
      <c r="C292" s="12" t="str">
        <f ca="1">'1ERA SERVICIOS GENERALES'!A59</f>
        <v>CANALIZACIÓN A TALLERES EXTERNOS (SUBROGADOS)</v>
      </c>
      <c r="D292" s="18">
        <f ca="1">'1ERA SERVICIOS GENERALES'!F59</f>
        <v>84.117647058823493</v>
      </c>
      <c r="E292" s="19">
        <f ca="1">'1ERA SERVICIOS GENERALES'!G59</f>
        <v>46</v>
      </c>
      <c r="F292" s="19">
        <f ca="1">'1ERA SERVICIOS GENERALES'!H59</f>
        <v>31</v>
      </c>
      <c r="G292" s="19">
        <f ca="1">'1ERA SERVICIOS GENERALES'!I59</f>
        <v>22</v>
      </c>
      <c r="H292" s="19">
        <f ca="1">'1ERA SERVICIOS GENERALES'!J59</f>
        <v>91</v>
      </c>
      <c r="I292" s="19">
        <f ca="1">'1ERA SERVICIOS GENERALES'!K59</f>
        <v>73</v>
      </c>
      <c r="J292" s="19">
        <f ca="1">'1ERA SERVICIOS GENERALES'!L59</f>
        <v>85</v>
      </c>
      <c r="K292" s="19">
        <f ca="1">'1ERA SERVICIOS GENERALES'!M59</f>
        <v>103</v>
      </c>
      <c r="L292" s="19">
        <f ca="1">'1ERA SERVICIOS GENERALES'!N59</f>
        <v>73</v>
      </c>
      <c r="M292" s="19">
        <f ca="1">'1ERA SERVICIOS GENERALES'!O59</f>
        <v>98</v>
      </c>
      <c r="N292" s="19">
        <f ca="1">'1ERA SERVICIOS GENERALES'!P59</f>
        <v>79</v>
      </c>
      <c r="O292" s="19">
        <f ca="1">'1ERA SERVICIOS GENERALES'!Q59</f>
        <v>94</v>
      </c>
      <c r="P292" s="19">
        <f ca="1">'1ERA SERVICIOS GENERALES'!R59</f>
        <v>63</v>
      </c>
      <c r="Q292" s="21">
        <f ca="1">'1ERA SERVICIOS GENERALES'!S59</f>
        <v>858</v>
      </c>
    </row>
    <row r="293" spans="1:17" ht="39.75" customHeight="1" thickTop="1" thickBot="1">
      <c r="A293" s="53"/>
      <c r="B293" s="53"/>
      <c r="C293" s="12" t="str">
        <f ca="1">'1ERA SERVICIOS GENERALES'!A60</f>
        <v>AFINACIONES</v>
      </c>
      <c r="D293" s="18">
        <f ca="1">'1ERA SERVICIOS GENERALES'!F60</f>
        <v>78.030303030303003</v>
      </c>
      <c r="E293" s="19">
        <f ca="1">'1ERA SERVICIOS GENERALES'!G60</f>
        <v>12</v>
      </c>
      <c r="F293" s="19">
        <f ca="1">'1ERA SERVICIOS GENERALES'!H60</f>
        <v>37</v>
      </c>
      <c r="G293" s="19">
        <f ca="1">'1ERA SERVICIOS GENERALES'!I60</f>
        <v>23</v>
      </c>
      <c r="H293" s="19">
        <f ca="1">'1ERA SERVICIOS GENERALES'!J60</f>
        <v>56</v>
      </c>
      <c r="I293" s="19">
        <f ca="1">'1ERA SERVICIOS GENERALES'!K60</f>
        <v>63</v>
      </c>
      <c r="J293" s="19">
        <f ca="1">'1ERA SERVICIOS GENERALES'!L60</f>
        <v>58</v>
      </c>
      <c r="K293" s="19">
        <f ca="1">'1ERA SERVICIOS GENERALES'!M60</f>
        <v>30</v>
      </c>
      <c r="L293" s="19">
        <f ca="1">'1ERA SERVICIOS GENERALES'!N60</f>
        <v>34</v>
      </c>
      <c r="M293" s="19">
        <f ca="1">'1ERA SERVICIOS GENERALES'!O60</f>
        <v>32</v>
      </c>
      <c r="N293" s="19">
        <f ca="1">'1ERA SERVICIOS GENERALES'!P60</f>
        <v>57</v>
      </c>
      <c r="O293" s="19">
        <f ca="1">'1ERA SERVICIOS GENERALES'!Q60</f>
        <v>62</v>
      </c>
      <c r="P293" s="19">
        <f ca="1">'1ERA SERVICIOS GENERALES'!R60</f>
        <v>51</v>
      </c>
      <c r="Q293" s="21">
        <f ca="1">'1ERA SERVICIOS GENERALES'!S60</f>
        <v>515</v>
      </c>
    </row>
    <row r="294" spans="1:17" ht="39.75" customHeight="1" thickTop="1" thickBot="1">
      <c r="A294" s="53"/>
      <c r="B294" s="53"/>
      <c r="C294" s="12" t="str">
        <f ca="1">'1ERA SERVICIOS GENERALES'!A61</f>
        <v>CAMBIO DE TAMBORES</v>
      </c>
      <c r="D294" s="18">
        <f ca="1">'1ERA SERVICIOS GENERALES'!F61</f>
        <v>151.666666666666</v>
      </c>
      <c r="E294" s="19">
        <f ca="1">'1ERA SERVICIOS GENERALES'!G61</f>
        <v>21</v>
      </c>
      <c r="F294" s="19">
        <f ca="1">'1ERA SERVICIOS GENERALES'!H61</f>
        <v>18</v>
      </c>
      <c r="G294" s="19">
        <f ca="1">'1ERA SERVICIOS GENERALES'!I61</f>
        <v>11</v>
      </c>
      <c r="H294" s="19">
        <f ca="1">'1ERA SERVICIOS GENERALES'!J61</f>
        <v>22</v>
      </c>
      <c r="I294" s="19">
        <f ca="1">'1ERA SERVICIOS GENERALES'!K61</f>
        <v>10</v>
      </c>
      <c r="J294" s="19">
        <f ca="1">'1ERA SERVICIOS GENERALES'!L61</f>
        <v>10</v>
      </c>
      <c r="K294" s="19">
        <f ca="1">'1ERA SERVICIOS GENERALES'!M61</f>
        <v>13</v>
      </c>
      <c r="L294" s="19">
        <f ca="1">'1ERA SERVICIOS GENERALES'!N61</f>
        <v>15</v>
      </c>
      <c r="M294" s="19">
        <f ca="1">'1ERA SERVICIOS GENERALES'!O61</f>
        <v>14</v>
      </c>
      <c r="N294" s="19">
        <f ca="1">'1ERA SERVICIOS GENERALES'!P61</f>
        <v>17</v>
      </c>
      <c r="O294" s="19">
        <f ca="1">'1ERA SERVICIOS GENERALES'!Q61</f>
        <v>15</v>
      </c>
      <c r="P294" s="19">
        <f ca="1">'1ERA SERVICIOS GENERALES'!R61</f>
        <v>16</v>
      </c>
      <c r="Q294" s="21">
        <f ca="1">'1ERA SERVICIOS GENERALES'!S61</f>
        <v>182</v>
      </c>
    </row>
    <row r="295" spans="1:17" ht="39.75" customHeight="1" thickTop="1" thickBot="1">
      <c r="A295" s="53"/>
      <c r="B295" s="53"/>
      <c r="C295" s="12" t="str">
        <f ca="1">'1ERA SERVICIOS GENERALES'!A62</f>
        <v>CAMBIO DE BALATAS</v>
      </c>
      <c r="D295" s="18">
        <f ca="1">'1ERA SERVICIOS GENERALES'!F62</f>
        <v>300</v>
      </c>
      <c r="E295" s="19">
        <f ca="1">'1ERA SERVICIOS GENERALES'!G62</f>
        <v>3</v>
      </c>
      <c r="F295" s="19">
        <f ca="1">'1ERA SERVICIOS GENERALES'!H62</f>
        <v>1</v>
      </c>
      <c r="G295" s="19">
        <f ca="1">'1ERA SERVICIOS GENERALES'!I62</f>
        <v>1</v>
      </c>
      <c r="H295" s="19">
        <f ca="1">'1ERA SERVICIOS GENERALES'!J62</f>
        <v>0</v>
      </c>
      <c r="I295" s="19">
        <f ca="1">'1ERA SERVICIOS GENERALES'!K62</f>
        <v>0</v>
      </c>
      <c r="J295" s="19">
        <f ca="1">'1ERA SERVICIOS GENERALES'!L62</f>
        <v>1</v>
      </c>
      <c r="K295" s="19">
        <f ca="1">'1ERA SERVICIOS GENERALES'!M62</f>
        <v>0</v>
      </c>
      <c r="L295" s="19">
        <f ca="1">'1ERA SERVICIOS GENERALES'!N62</f>
        <v>0</v>
      </c>
      <c r="M295" s="19">
        <f ca="1">'1ERA SERVICIOS GENERALES'!O62</f>
        <v>2</v>
      </c>
      <c r="N295" s="19">
        <f ca="1">'1ERA SERVICIOS GENERALES'!P62</f>
        <v>0</v>
      </c>
      <c r="O295" s="19">
        <f ca="1">'1ERA SERVICIOS GENERALES'!Q62</f>
        <v>1</v>
      </c>
      <c r="P295" s="19">
        <f ca="1">'1ERA SERVICIOS GENERALES'!R62</f>
        <v>0</v>
      </c>
      <c r="Q295" s="21">
        <f ca="1">'1ERA SERVICIOS GENERALES'!S62</f>
        <v>9</v>
      </c>
    </row>
    <row r="296" spans="1:17" ht="39.75" customHeight="1" thickTop="1" thickBot="1">
      <c r="A296" s="53"/>
      <c r="B296" s="53"/>
      <c r="C296" s="12" t="str">
        <f ca="1">'1ERA SERVICIOS GENERALES'!A63</f>
        <v>REPARACIÓN DE EQUIPOS DE JARDINERÍA (DESBROZADORAS, MOTOBOMBAS, MOTOSIERRAS, ETC.)</v>
      </c>
      <c r="D296" s="18">
        <f ca="1">'1ERA SERVICIOS GENERALES'!F63</f>
        <v>146.666666666666</v>
      </c>
      <c r="E296" s="19">
        <f ca="1">'1ERA SERVICIOS GENERALES'!G63</f>
        <v>15</v>
      </c>
      <c r="F296" s="19">
        <f ca="1">'1ERA SERVICIOS GENERALES'!H63</f>
        <v>9</v>
      </c>
      <c r="G296" s="19">
        <f ca="1">'1ERA SERVICIOS GENERALES'!I63</f>
        <v>7</v>
      </c>
      <c r="H296" s="19">
        <f ca="1">'1ERA SERVICIOS GENERALES'!J63</f>
        <v>4</v>
      </c>
      <c r="I296" s="19">
        <f ca="1">'1ERA SERVICIOS GENERALES'!K63</f>
        <v>7</v>
      </c>
      <c r="J296" s="19">
        <f ca="1">'1ERA SERVICIOS GENERALES'!L63</f>
        <v>6</v>
      </c>
      <c r="K296" s="19">
        <f ca="1">'1ERA SERVICIOS GENERALES'!M63</f>
        <v>11</v>
      </c>
      <c r="L296" s="19">
        <f ca="1">'1ERA SERVICIOS GENERALES'!N63</f>
        <v>4</v>
      </c>
      <c r="M296" s="19">
        <f ca="1">'1ERA SERVICIOS GENERALES'!O63</f>
        <v>4</v>
      </c>
      <c r="N296" s="19">
        <f ca="1">'1ERA SERVICIOS GENERALES'!P63</f>
        <v>11</v>
      </c>
      <c r="O296" s="19">
        <f ca="1">'1ERA SERVICIOS GENERALES'!Q63</f>
        <v>7</v>
      </c>
      <c r="P296" s="19">
        <f ca="1">'1ERA SERVICIOS GENERALES'!R63</f>
        <v>3</v>
      </c>
      <c r="Q296" s="21">
        <f ca="1">'1ERA SERVICIOS GENERALES'!S63</f>
        <v>88</v>
      </c>
    </row>
    <row r="297" spans="1:17" ht="39.75" customHeight="1" thickTop="1" thickBot="1">
      <c r="A297" s="53"/>
      <c r="B297" s="51"/>
      <c r="C297" s="12" t="str">
        <f ca="1">'1ERA SERVICIOS GENERALES'!A64</f>
        <v>RECARGAS DE ACEITE</v>
      </c>
      <c r="D297" s="18">
        <f ca="1">'1ERA SERVICIOS GENERALES'!F64</f>
        <v>68</v>
      </c>
      <c r="E297" s="19">
        <f ca="1">'1ERA SERVICIOS GENERALES'!G64</f>
        <v>0</v>
      </c>
      <c r="F297" s="19">
        <f ca="1">'1ERA SERVICIOS GENERALES'!H64</f>
        <v>0</v>
      </c>
      <c r="G297" s="19">
        <f ca="1">'1ERA SERVICIOS GENERALES'!I64</f>
        <v>0</v>
      </c>
      <c r="H297" s="19">
        <f ca="1">'1ERA SERVICIOS GENERALES'!J64</f>
        <v>58</v>
      </c>
      <c r="I297" s="19">
        <f ca="1">'1ERA SERVICIOS GENERALES'!K64</f>
        <v>65</v>
      </c>
      <c r="J297" s="19">
        <f ca="1">'1ERA SERVICIOS GENERALES'!L64</f>
        <v>48</v>
      </c>
      <c r="K297" s="19">
        <f ca="1">'1ERA SERVICIOS GENERALES'!M64</f>
        <v>20</v>
      </c>
      <c r="L297" s="19">
        <f ca="1">'1ERA SERVICIOS GENERALES'!N64</f>
        <v>8</v>
      </c>
      <c r="M297" s="19">
        <f ca="1">'1ERA SERVICIOS GENERALES'!O64</f>
        <v>53</v>
      </c>
      <c r="N297" s="19">
        <f ca="1">'1ERA SERVICIOS GENERALES'!P64</f>
        <v>58</v>
      </c>
      <c r="O297" s="19">
        <f ca="1">'1ERA SERVICIOS GENERALES'!Q64</f>
        <v>45</v>
      </c>
      <c r="P297" s="19">
        <f ca="1">'1ERA SERVICIOS GENERALES'!R64</f>
        <v>53</v>
      </c>
      <c r="Q297" s="21">
        <f ca="1">'1ERA SERVICIOS GENERALES'!S64</f>
        <v>408</v>
      </c>
    </row>
    <row r="298" spans="1:17" ht="39.75" customHeight="1" thickTop="1" thickBot="1">
      <c r="A298" s="53"/>
      <c r="B298" s="52" t="s">
        <v>350</v>
      </c>
      <c r="C298" s="12" t="str">
        <f ca="1">'1ERA SERVICIOS GENERALES'!A65</f>
        <v>INSTALACIÓN DE TABLAROCA M2</v>
      </c>
      <c r="D298" s="18">
        <f ca="1">'1ERA SERVICIOS GENERALES'!F65</f>
        <v>88.095238095238003</v>
      </c>
      <c r="E298" s="19">
        <f ca="1">'1ERA SERVICIOS GENERALES'!G65</f>
        <v>7</v>
      </c>
      <c r="F298" s="19">
        <f ca="1">'1ERA SERVICIOS GENERALES'!H65</f>
        <v>3</v>
      </c>
      <c r="G298" s="19">
        <f ca="1">'1ERA SERVICIOS GENERALES'!I65</f>
        <v>3</v>
      </c>
      <c r="H298" s="19">
        <f ca="1">'1ERA SERVICIOS GENERALES'!J65</f>
        <v>9</v>
      </c>
      <c r="I298" s="19">
        <f ca="1">'1ERA SERVICIOS GENERALES'!K65</f>
        <v>4</v>
      </c>
      <c r="J298" s="19">
        <f ca="1">'1ERA SERVICIOS GENERALES'!L65</f>
        <v>7</v>
      </c>
      <c r="K298" s="19">
        <f ca="1">'1ERA SERVICIOS GENERALES'!M65</f>
        <v>12</v>
      </c>
      <c r="L298" s="19">
        <f ca="1">'1ERA SERVICIOS GENERALES'!N65</f>
        <v>10</v>
      </c>
      <c r="M298" s="19">
        <f ca="1">'1ERA SERVICIOS GENERALES'!O65</f>
        <v>11</v>
      </c>
      <c r="N298" s="19">
        <f ca="1">'1ERA SERVICIOS GENERALES'!P65</f>
        <v>4</v>
      </c>
      <c r="O298" s="19">
        <f ca="1">'1ERA SERVICIOS GENERALES'!Q65</f>
        <v>1</v>
      </c>
      <c r="P298" s="19">
        <f ca="1">'1ERA SERVICIOS GENERALES'!R65</f>
        <v>3</v>
      </c>
      <c r="Q298" s="21">
        <f ca="1">'1ERA SERVICIOS GENERALES'!S65</f>
        <v>74</v>
      </c>
    </row>
    <row r="299" spans="1:17" ht="39.75" customHeight="1" thickTop="1" thickBot="1">
      <c r="A299" s="53"/>
      <c r="B299" s="53"/>
      <c r="C299" s="12" t="str">
        <f ca="1">'1ERA SERVICIOS GENERALES'!A66</f>
        <v>CALLES  BACHEADAS (NO. BACHES)</v>
      </c>
      <c r="D299" s="18">
        <f ca="1">'1ERA SERVICIOS GENERALES'!F66</f>
        <v>200</v>
      </c>
      <c r="E299" s="19">
        <f ca="1">'1ERA SERVICIOS GENERALES'!G66</f>
        <v>10</v>
      </c>
      <c r="F299" s="19">
        <f ca="1">'1ERA SERVICIOS GENERALES'!H66</f>
        <v>10</v>
      </c>
      <c r="G299" s="19">
        <f ca="1">'1ERA SERVICIOS GENERALES'!I66</f>
        <v>10</v>
      </c>
      <c r="H299" s="19">
        <f ca="1">'1ERA SERVICIOS GENERALES'!J66</f>
        <v>0</v>
      </c>
      <c r="I299" s="19">
        <f ca="1">'1ERA SERVICIOS GENERALES'!K66</f>
        <v>0</v>
      </c>
      <c r="J299" s="19">
        <f ca="1">'1ERA SERVICIOS GENERALES'!L66</f>
        <v>0</v>
      </c>
      <c r="K299" s="19">
        <f ca="1">'1ERA SERVICIOS GENERALES'!M66</f>
        <v>0</v>
      </c>
      <c r="L299" s="19">
        <f ca="1">'1ERA SERVICIOS GENERALES'!N66</f>
        <v>0</v>
      </c>
      <c r="M299" s="19">
        <f ca="1">'1ERA SERVICIOS GENERALES'!O66</f>
        <v>0</v>
      </c>
      <c r="N299" s="19">
        <f ca="1">'1ERA SERVICIOS GENERALES'!P66</f>
        <v>0</v>
      </c>
      <c r="O299" s="19">
        <f ca="1">'1ERA SERVICIOS GENERALES'!Q66</f>
        <v>0</v>
      </c>
      <c r="P299" s="19">
        <f ca="1">'1ERA SERVICIOS GENERALES'!R66</f>
        <v>0</v>
      </c>
      <c r="Q299" s="21">
        <f ca="1">'1ERA SERVICIOS GENERALES'!S66</f>
        <v>30</v>
      </c>
    </row>
    <row r="300" spans="1:17" ht="39.75" customHeight="1" thickTop="1" thickBot="1">
      <c r="A300" s="53"/>
      <c r="B300" s="53"/>
      <c r="C300" s="12" t="str">
        <f ca="1">'1ERA SERVICIOS GENERALES'!A67</f>
        <v>CARRETERAS BACHEADAS (NO. BACHES)</v>
      </c>
      <c r="D300" s="18">
        <f ca="1">'1ERA SERVICIOS GENERALES'!F67</f>
        <v>27.122222222222199</v>
      </c>
      <c r="E300" s="19">
        <f ca="1">'1ERA SERVICIOS GENERALES'!G67</f>
        <v>14</v>
      </c>
      <c r="F300" s="19">
        <f ca="1">'1ERA SERVICIOS GENERALES'!H67</f>
        <v>2</v>
      </c>
      <c r="G300" s="19">
        <f ca="1">'1ERA SERVICIOS GENERALES'!I67</f>
        <v>12</v>
      </c>
      <c r="H300" s="19">
        <f ca="1">'1ERA SERVICIOS GENERALES'!J67</f>
        <v>803</v>
      </c>
      <c r="I300" s="19">
        <f ca="1">'1ERA SERVICIOS GENERALES'!K67</f>
        <v>960</v>
      </c>
      <c r="J300" s="19">
        <f ca="1">'1ERA SERVICIOS GENERALES'!L67</f>
        <v>619</v>
      </c>
      <c r="K300" s="19">
        <f ca="1">'1ERA SERVICIOS GENERALES'!M67</f>
        <v>1</v>
      </c>
      <c r="L300" s="19">
        <f ca="1">'1ERA SERVICIOS GENERALES'!N67</f>
        <v>5</v>
      </c>
      <c r="M300" s="19">
        <f ca="1">'1ERA SERVICIOS GENERALES'!O67</f>
        <v>25</v>
      </c>
      <c r="N300" s="19">
        <f ca="1">'1ERA SERVICIOS GENERALES'!P67</f>
        <v>0</v>
      </c>
      <c r="O300" s="19">
        <f ca="1">'1ERA SERVICIOS GENERALES'!Q67</f>
        <v>0</v>
      </c>
      <c r="P300" s="19">
        <f ca="1">'1ERA SERVICIOS GENERALES'!R67</f>
        <v>0</v>
      </c>
      <c r="Q300" s="21">
        <f ca="1">'1ERA SERVICIOS GENERALES'!S67</f>
        <v>2441</v>
      </c>
    </row>
    <row r="301" spans="1:17" ht="39.75" customHeight="1" thickTop="1" thickBot="1">
      <c r="A301" s="53"/>
      <c r="B301" s="53"/>
      <c r="C301" s="12" t="str">
        <f ca="1">'1ERA SERVICIOS GENERALES'!A68</f>
        <v>NÚMERO DE ASFALTO APLICADO (TONELADAS)</v>
      </c>
      <c r="D301" s="18">
        <f ca="1">'1ERA SERVICIOS GENERALES'!F68</f>
        <v>27.8069904113826</v>
      </c>
      <c r="E301" s="19">
        <f ca="1">'1ERA SERVICIOS GENERALES'!G68</f>
        <v>4</v>
      </c>
      <c r="F301" s="19">
        <f ca="1">'1ERA SERVICIOS GENERALES'!H68</f>
        <v>3</v>
      </c>
      <c r="G301" s="19">
        <f ca="1">'1ERA SERVICIOS GENERALES'!I68</f>
        <v>2</v>
      </c>
      <c r="H301" s="19">
        <f ca="1">'1ERA SERVICIOS GENERALES'!J68</f>
        <v>709</v>
      </c>
      <c r="I301" s="19">
        <f ca="1">'1ERA SERVICIOS GENERALES'!K68</f>
        <v>1050</v>
      </c>
      <c r="J301" s="19">
        <f ca="1">'1ERA SERVICIOS GENERALES'!L68</f>
        <v>897</v>
      </c>
      <c r="K301" s="19">
        <f ca="1">'1ERA SERVICIOS GENERALES'!M68</f>
        <v>12</v>
      </c>
      <c r="L301" s="19">
        <f ca="1">'1ERA SERVICIOS GENERALES'!N68</f>
        <v>8</v>
      </c>
      <c r="M301" s="19">
        <f ca="1">'1ERA SERVICIOS GENERALES'!O68</f>
        <v>12</v>
      </c>
      <c r="N301" s="19">
        <f ca="1">'1ERA SERVICIOS GENERALES'!P68</f>
        <v>0</v>
      </c>
      <c r="O301" s="19">
        <f ca="1">'1ERA SERVICIOS GENERALES'!Q68</f>
        <v>0</v>
      </c>
      <c r="P301" s="19">
        <f ca="1">'1ERA SERVICIOS GENERALES'!R68</f>
        <v>0</v>
      </c>
      <c r="Q301" s="21">
        <f ca="1">'1ERA SERVICIOS GENERALES'!S68</f>
        <v>2697</v>
      </c>
    </row>
    <row r="302" spans="1:17" ht="39.75" customHeight="1" thickTop="1" thickBot="1">
      <c r="A302" s="53"/>
      <c r="B302" s="53"/>
      <c r="C302" s="12" t="str">
        <f ca="1">'1ERA SERVICIOS GENERALES'!A69</f>
        <v>INSTALACIÓN DE POSTES PARA LÁMPARAS</v>
      </c>
      <c r="D302" s="18">
        <f ca="1">'1ERA SERVICIOS GENERALES'!F69</f>
        <v>210.333333333333</v>
      </c>
      <c r="E302" s="19">
        <f ca="1">'1ERA SERVICIOS GENERALES'!G69</f>
        <v>132</v>
      </c>
      <c r="F302" s="19">
        <f ca="1">'1ERA SERVICIOS GENERALES'!H69</f>
        <v>75</v>
      </c>
      <c r="G302" s="19">
        <f ca="1">'1ERA SERVICIOS GENERALES'!I69</f>
        <v>117</v>
      </c>
      <c r="H302" s="19">
        <f ca="1">'1ERA SERVICIOS GENERALES'!J69</f>
        <v>185</v>
      </c>
      <c r="I302" s="19">
        <f ca="1">'1ERA SERVICIOS GENERALES'!K69</f>
        <v>198</v>
      </c>
      <c r="J302" s="19">
        <f ca="1">'1ERA SERVICIOS GENERALES'!L69</f>
        <v>178</v>
      </c>
      <c r="K302" s="19">
        <f ca="1">'1ERA SERVICIOS GENERALES'!M69</f>
        <v>28</v>
      </c>
      <c r="L302" s="19">
        <f ca="1">'1ERA SERVICIOS GENERALES'!N69</f>
        <v>90</v>
      </c>
      <c r="M302" s="19">
        <f ca="1">'1ERA SERVICIOS GENERALES'!O69</f>
        <v>141</v>
      </c>
      <c r="N302" s="19">
        <f ca="1">'1ERA SERVICIOS GENERALES'!P69</f>
        <v>118</v>
      </c>
      <c r="O302" s="19">
        <f ca="1">'1ERA SERVICIOS GENERALES'!Q69</f>
        <v>0</v>
      </c>
      <c r="P302" s="19">
        <f ca="1">'1ERA SERVICIOS GENERALES'!R69</f>
        <v>0</v>
      </c>
      <c r="Q302" s="21">
        <f ca="1">'1ERA SERVICIOS GENERALES'!S69</f>
        <v>1262</v>
      </c>
    </row>
    <row r="303" spans="1:17" ht="39.75" customHeight="1" thickTop="1" thickBot="1">
      <c r="A303" s="53"/>
      <c r="B303" s="53"/>
      <c r="C303" s="12" t="str">
        <f ca="1">'1ERA SERVICIOS GENERALES'!A70</f>
        <v>FUMIGACION EN CALLES</v>
      </c>
      <c r="D303" s="18">
        <f ca="1">'1ERA SERVICIOS GENERALES'!F70</f>
        <v>0</v>
      </c>
      <c r="E303" s="19">
        <f ca="1">'1ERA SERVICIOS GENERALES'!G70</f>
        <v>0</v>
      </c>
      <c r="F303" s="19">
        <f ca="1">'1ERA SERVICIOS GENERALES'!H70</f>
        <v>0</v>
      </c>
      <c r="G303" s="19">
        <f ca="1">'1ERA SERVICIOS GENERALES'!I70</f>
        <v>0</v>
      </c>
      <c r="H303" s="19">
        <f ca="1">'1ERA SERVICIOS GENERALES'!J70</f>
        <v>0</v>
      </c>
      <c r="I303" s="19">
        <f ca="1">'1ERA SERVICIOS GENERALES'!K70</f>
        <v>0</v>
      </c>
      <c r="J303" s="19">
        <f ca="1">'1ERA SERVICIOS GENERALES'!L70</f>
        <v>0</v>
      </c>
      <c r="K303" s="19">
        <f ca="1">'1ERA SERVICIOS GENERALES'!M70</f>
        <v>0</v>
      </c>
      <c r="L303" s="19">
        <f ca="1">'1ERA SERVICIOS GENERALES'!N70</f>
        <v>0</v>
      </c>
      <c r="M303" s="19">
        <f ca="1">'1ERA SERVICIOS GENERALES'!O70</f>
        <v>0</v>
      </c>
      <c r="N303" s="19">
        <f ca="1">'1ERA SERVICIOS GENERALES'!P70</f>
        <v>0</v>
      </c>
      <c r="O303" s="19">
        <f ca="1">'1ERA SERVICIOS GENERALES'!Q70</f>
        <v>0</v>
      </c>
      <c r="P303" s="19">
        <f ca="1">'1ERA SERVICIOS GENERALES'!R70</f>
        <v>0</v>
      </c>
      <c r="Q303" s="21">
        <f ca="1">'1ERA SERVICIOS GENERALES'!S70</f>
        <v>0</v>
      </c>
    </row>
    <row r="304" spans="1:17" ht="39.75" customHeight="1" thickTop="1" thickBot="1">
      <c r="A304" s="53"/>
      <c r="B304" s="53"/>
      <c r="C304" s="12" t="str">
        <f ca="1">'1ERA SERVICIOS GENERALES'!A71</f>
        <v>FUMIGACION EN EDIFICIOS Y PLAZAS PÚBLICOS</v>
      </c>
      <c r="D304" s="18">
        <f ca="1">'1ERA SERVICIOS GENERALES'!F71</f>
        <v>16</v>
      </c>
      <c r="E304" s="19">
        <f ca="1">'1ERA SERVICIOS GENERALES'!G71</f>
        <v>3</v>
      </c>
      <c r="F304" s="19">
        <f ca="1">'1ERA SERVICIOS GENERALES'!H71</f>
        <v>4</v>
      </c>
      <c r="G304" s="19">
        <f ca="1">'1ERA SERVICIOS GENERALES'!I71</f>
        <v>1</v>
      </c>
      <c r="H304" s="19">
        <f ca="1">'1ERA SERVICIOS GENERALES'!J71</f>
        <v>0</v>
      </c>
      <c r="I304" s="19">
        <f ca="1">'1ERA SERVICIOS GENERALES'!K71</f>
        <v>0</v>
      </c>
      <c r="J304" s="19">
        <f ca="1">'1ERA SERVICIOS GENERALES'!L71</f>
        <v>0</v>
      </c>
      <c r="K304" s="19">
        <f ca="1">'1ERA SERVICIOS GENERALES'!M71</f>
        <v>0</v>
      </c>
      <c r="L304" s="19">
        <f ca="1">'1ERA SERVICIOS GENERALES'!N71</f>
        <v>0</v>
      </c>
      <c r="M304" s="19">
        <f ca="1">'1ERA SERVICIOS GENERALES'!O71</f>
        <v>0</v>
      </c>
      <c r="N304" s="19">
        <f ca="1">'1ERA SERVICIOS GENERALES'!P71</f>
        <v>0</v>
      </c>
      <c r="O304" s="19">
        <f ca="1">'1ERA SERVICIOS GENERALES'!Q71</f>
        <v>0</v>
      </c>
      <c r="P304" s="19">
        <f ca="1">'1ERA SERVICIOS GENERALES'!R71</f>
        <v>0</v>
      </c>
      <c r="Q304" s="21">
        <f ca="1">'1ERA SERVICIOS GENERALES'!S71</f>
        <v>8</v>
      </c>
    </row>
    <row r="305" spans="1:17" ht="39.75" customHeight="1" thickTop="1" thickBot="1">
      <c r="A305" s="53"/>
      <c r="B305" s="53"/>
      <c r="C305" s="12" t="str">
        <f ca="1">'1ERA SERVICIOS GENERALES'!A72</f>
        <v>IMPERMEABILIZACIONES EN EDIFICIOS PÚBLICOS</v>
      </c>
      <c r="D305" s="18">
        <f ca="1">'1ERA SERVICIOS GENERALES'!F72</f>
        <v>103.333333333333</v>
      </c>
      <c r="E305" s="19">
        <f ca="1">'1ERA SERVICIOS GENERALES'!G72</f>
        <v>16</v>
      </c>
      <c r="F305" s="19">
        <f ca="1">'1ERA SERVICIOS GENERALES'!H72</f>
        <v>10</v>
      </c>
      <c r="G305" s="19">
        <f ca="1">'1ERA SERVICIOS GENERALES'!I72</f>
        <v>5</v>
      </c>
      <c r="H305" s="19">
        <f ca="1">'1ERA SERVICIOS GENERALES'!J72</f>
        <v>0</v>
      </c>
      <c r="I305" s="19">
        <f ca="1">'1ERA SERVICIOS GENERALES'!K72</f>
        <v>0</v>
      </c>
      <c r="J305" s="19">
        <f ca="1">'1ERA SERVICIOS GENERALES'!L72</f>
        <v>0</v>
      </c>
      <c r="K305" s="19">
        <f ca="1">'1ERA SERVICIOS GENERALES'!M72</f>
        <v>0</v>
      </c>
      <c r="L305" s="19">
        <f ca="1">'1ERA SERVICIOS GENERALES'!N72</f>
        <v>0</v>
      </c>
      <c r="M305" s="19">
        <f ca="1">'1ERA SERVICIOS GENERALES'!O72</f>
        <v>0</v>
      </c>
      <c r="N305" s="19">
        <f ca="1">'1ERA SERVICIOS GENERALES'!P72</f>
        <v>0</v>
      </c>
      <c r="O305" s="19">
        <f ca="1">'1ERA SERVICIOS GENERALES'!Q72</f>
        <v>0</v>
      </c>
      <c r="P305" s="19">
        <f ca="1">'1ERA SERVICIOS GENERALES'!R72</f>
        <v>0</v>
      </c>
      <c r="Q305" s="21">
        <f ca="1">'1ERA SERVICIOS GENERALES'!S72</f>
        <v>31</v>
      </c>
    </row>
    <row r="306" spans="1:17" ht="39.75" customHeight="1" thickTop="1" thickBot="1">
      <c r="A306" s="53"/>
      <c r="B306" s="53"/>
      <c r="C306" s="12" t="str">
        <f ca="1">'1ERA SERVICIOS GENERALES'!A73</f>
        <v>IMPERMEABILIZACIONES EN ESCUELAS</v>
      </c>
      <c r="D306" s="18">
        <f ca="1">'1ERA SERVICIOS GENERALES'!F73</f>
        <v>53.3333333333333</v>
      </c>
      <c r="E306" s="19">
        <f ca="1">'1ERA SERVICIOS GENERALES'!G73</f>
        <v>0</v>
      </c>
      <c r="F306" s="19">
        <f ca="1">'1ERA SERVICIOS GENERALES'!H73</f>
        <v>0</v>
      </c>
      <c r="G306" s="19">
        <f ca="1">'1ERA SERVICIOS GENERALES'!I73</f>
        <v>0</v>
      </c>
      <c r="H306" s="19">
        <f ca="1">'1ERA SERVICIOS GENERALES'!J73</f>
        <v>0</v>
      </c>
      <c r="I306" s="19">
        <f ca="1">'1ERA SERVICIOS GENERALES'!K73</f>
        <v>0</v>
      </c>
      <c r="J306" s="19">
        <f ca="1">'1ERA SERVICIOS GENERALES'!L73</f>
        <v>0</v>
      </c>
      <c r="K306" s="19">
        <f ca="1">'1ERA SERVICIOS GENERALES'!M73</f>
        <v>3</v>
      </c>
      <c r="L306" s="19">
        <f ca="1">'1ERA SERVICIOS GENERALES'!N73</f>
        <v>3</v>
      </c>
      <c r="M306" s="19">
        <f ca="1">'1ERA SERVICIOS GENERALES'!O73</f>
        <v>2</v>
      </c>
      <c r="N306" s="19">
        <f ca="1">'1ERA SERVICIOS GENERALES'!P73</f>
        <v>0</v>
      </c>
      <c r="O306" s="19">
        <f ca="1">'1ERA SERVICIOS GENERALES'!Q73</f>
        <v>0</v>
      </c>
      <c r="P306" s="19">
        <f ca="1">'1ERA SERVICIOS GENERALES'!R73</f>
        <v>0</v>
      </c>
      <c r="Q306" s="21">
        <f ca="1">'1ERA SERVICIOS GENERALES'!S73</f>
        <v>8</v>
      </c>
    </row>
    <row r="307" spans="1:17" ht="39.75" customHeight="1" thickTop="1" thickBot="1">
      <c r="A307" s="53"/>
      <c r="B307" s="53"/>
      <c r="C307" s="12" t="str">
        <f ca="1">'1ERA SERVICIOS GENERALES'!A74</f>
        <v>ACCIONES DE INTERVENCION CON PINTUR A UNIDADES DEPORTIVAS</v>
      </c>
      <c r="D307" s="18">
        <f ca="1">'1ERA SERVICIOS GENERALES'!F74</f>
        <v>0</v>
      </c>
      <c r="E307" s="19">
        <f ca="1">'1ERA SERVICIOS GENERALES'!G74</f>
        <v>0</v>
      </c>
      <c r="F307" s="19">
        <f ca="1">'1ERA SERVICIOS GENERALES'!H74</f>
        <v>0</v>
      </c>
      <c r="G307" s="19">
        <f ca="1">'1ERA SERVICIOS GENERALES'!I74</f>
        <v>0</v>
      </c>
      <c r="H307" s="19">
        <f ca="1">'1ERA SERVICIOS GENERALES'!J74</f>
        <v>0</v>
      </c>
      <c r="I307" s="19">
        <f ca="1">'1ERA SERVICIOS GENERALES'!K74</f>
        <v>0</v>
      </c>
      <c r="J307" s="19">
        <f ca="1">'1ERA SERVICIOS GENERALES'!L74</f>
        <v>0</v>
      </c>
      <c r="K307" s="19">
        <f ca="1">'1ERA SERVICIOS GENERALES'!M74</f>
        <v>0</v>
      </c>
      <c r="L307" s="19">
        <f ca="1">'1ERA SERVICIOS GENERALES'!N74</f>
        <v>0</v>
      </c>
      <c r="M307" s="19">
        <f ca="1">'1ERA SERVICIOS GENERALES'!O74</f>
        <v>0</v>
      </c>
      <c r="N307" s="19">
        <f ca="1">'1ERA SERVICIOS GENERALES'!P74</f>
        <v>0</v>
      </c>
      <c r="O307" s="19">
        <f ca="1">'1ERA SERVICIOS GENERALES'!Q74</f>
        <v>0</v>
      </c>
      <c r="P307" s="19">
        <f ca="1">'1ERA SERVICIOS GENERALES'!R74</f>
        <v>0</v>
      </c>
      <c r="Q307" s="21">
        <f ca="1">'1ERA SERVICIOS GENERALES'!S74</f>
        <v>0</v>
      </c>
    </row>
    <row r="308" spans="1:17" ht="39.75" customHeight="1" thickTop="1" thickBot="1">
      <c r="A308" s="53"/>
      <c r="B308" s="53"/>
      <c r="C308" s="12" t="str">
        <f ca="1">'1ERA SERVICIOS GENERALES'!A75</f>
        <v>ACCIONES DE INTERVENCION CON PINTURA A OFICINAS Y FACHADAS DE EDIFICIOS PÚBLICOS</v>
      </c>
      <c r="D308" s="18">
        <f ca="1">'1ERA SERVICIOS GENERALES'!F75</f>
        <v>266.666666666666</v>
      </c>
      <c r="E308" s="19">
        <f ca="1">'1ERA SERVICIOS GENERALES'!G75</f>
        <v>1</v>
      </c>
      <c r="F308" s="19">
        <f ca="1">'1ERA SERVICIOS GENERALES'!H75</f>
        <v>1</v>
      </c>
      <c r="G308" s="19">
        <f ca="1">'1ERA SERVICIOS GENERALES'!I75</f>
        <v>3</v>
      </c>
      <c r="H308" s="19">
        <f ca="1">'1ERA SERVICIOS GENERALES'!J75</f>
        <v>1</v>
      </c>
      <c r="I308" s="19">
        <f ca="1">'1ERA SERVICIOS GENERALES'!K75</f>
        <v>0</v>
      </c>
      <c r="J308" s="19">
        <f ca="1">'1ERA SERVICIOS GENERALES'!L75</f>
        <v>1</v>
      </c>
      <c r="K308" s="19">
        <f ca="1">'1ERA SERVICIOS GENERALES'!M75</f>
        <v>2</v>
      </c>
      <c r="L308" s="19">
        <f ca="1">'1ERA SERVICIOS GENERALES'!N75</f>
        <v>1</v>
      </c>
      <c r="M308" s="19">
        <f ca="1">'1ERA SERVICIOS GENERALES'!O75</f>
        <v>0</v>
      </c>
      <c r="N308" s="19">
        <f ca="1">'1ERA SERVICIOS GENERALES'!P75</f>
        <v>0</v>
      </c>
      <c r="O308" s="19">
        <f ca="1">'1ERA SERVICIOS GENERALES'!Q75</f>
        <v>13</v>
      </c>
      <c r="P308" s="19">
        <f ca="1">'1ERA SERVICIOS GENERALES'!R75</f>
        <v>9</v>
      </c>
      <c r="Q308" s="21">
        <f ca="1">'1ERA SERVICIOS GENERALES'!S75</f>
        <v>32</v>
      </c>
    </row>
    <row r="309" spans="1:17" ht="39.75" customHeight="1" thickTop="1" thickBot="1">
      <c r="A309" s="53"/>
      <c r="B309" s="53"/>
      <c r="C309" s="12" t="str">
        <f ca="1">'1ERA SERVICIOS GENERALES'!A76</f>
        <v>ACCIONES DE INTERVENCION CON PINTURA PLAZAS PÚBLICAS</v>
      </c>
      <c r="D309" s="18">
        <f ca="1">'1ERA SERVICIOS GENERALES'!F76</f>
        <v>153.333333333333</v>
      </c>
      <c r="E309" s="19">
        <f ca="1">'1ERA SERVICIOS GENERALES'!G76</f>
        <v>30</v>
      </c>
      <c r="F309" s="19">
        <f ca="1">'1ERA SERVICIOS GENERALES'!H76</f>
        <v>16</v>
      </c>
      <c r="G309" s="19">
        <f ca="1">'1ERA SERVICIOS GENERALES'!I76</f>
        <v>5</v>
      </c>
      <c r="H309" s="19">
        <f ca="1">'1ERA SERVICIOS GENERALES'!J76</f>
        <v>3</v>
      </c>
      <c r="I309" s="19">
        <f ca="1">'1ERA SERVICIOS GENERALES'!K76</f>
        <v>6</v>
      </c>
      <c r="J309" s="19">
        <f ca="1">'1ERA SERVICIOS GENERALES'!L76</f>
        <v>4</v>
      </c>
      <c r="K309" s="19">
        <f ca="1">'1ERA SERVICIOS GENERALES'!M76</f>
        <v>0</v>
      </c>
      <c r="L309" s="19">
        <f ca="1">'1ERA SERVICIOS GENERALES'!N76</f>
        <v>7</v>
      </c>
      <c r="M309" s="19">
        <f ca="1">'1ERA SERVICIOS GENERALES'!O76</f>
        <v>4</v>
      </c>
      <c r="N309" s="19">
        <f ca="1">'1ERA SERVICIOS GENERALES'!P76</f>
        <v>8</v>
      </c>
      <c r="O309" s="19">
        <f ca="1">'1ERA SERVICIOS GENERALES'!Q76</f>
        <v>7</v>
      </c>
      <c r="P309" s="19">
        <f ca="1">'1ERA SERVICIOS GENERALES'!R76</f>
        <v>2</v>
      </c>
      <c r="Q309" s="21">
        <f ca="1">'1ERA SERVICIOS GENERALES'!S76</f>
        <v>92</v>
      </c>
    </row>
    <row r="310" spans="1:17" ht="39.75" customHeight="1" thickTop="1" thickBot="1">
      <c r="A310" s="53"/>
      <c r="B310" s="53"/>
      <c r="C310" s="12" t="str">
        <f ca="1">'1ERA SERVICIOS GENERALES'!A77</f>
        <v>ACCIONES DE INTERVENCION CON PINTURA A  PARQUES</v>
      </c>
      <c r="D310" s="18">
        <f ca="1">'1ERA SERVICIOS GENERALES'!F77</f>
        <v>35.616438356164302</v>
      </c>
      <c r="E310" s="19">
        <f ca="1">'1ERA SERVICIOS GENERALES'!G77</f>
        <v>0</v>
      </c>
      <c r="F310" s="19">
        <f ca="1">'1ERA SERVICIOS GENERALES'!H77</f>
        <v>2</v>
      </c>
      <c r="G310" s="19">
        <f ca="1">'1ERA SERVICIOS GENERALES'!I77</f>
        <v>4</v>
      </c>
      <c r="H310" s="19">
        <f ca="1">'1ERA SERVICIOS GENERALES'!J77</f>
        <v>3</v>
      </c>
      <c r="I310" s="19">
        <f ca="1">'1ERA SERVICIOS GENERALES'!K77</f>
        <v>7</v>
      </c>
      <c r="J310" s="19">
        <f ca="1">'1ERA SERVICIOS GENERALES'!L77</f>
        <v>4</v>
      </c>
      <c r="K310" s="19">
        <f ca="1">'1ERA SERVICIOS GENERALES'!M77</f>
        <v>2</v>
      </c>
      <c r="L310" s="19">
        <f ca="1">'1ERA SERVICIOS GENERALES'!N77</f>
        <v>1</v>
      </c>
      <c r="M310" s="19">
        <f ca="1">'1ERA SERVICIOS GENERALES'!O77</f>
        <v>1</v>
      </c>
      <c r="N310" s="19">
        <f ca="1">'1ERA SERVICIOS GENERALES'!P77</f>
        <v>2</v>
      </c>
      <c r="O310" s="19">
        <f ca="1">'1ERA SERVICIOS GENERALES'!Q77</f>
        <v>0</v>
      </c>
      <c r="P310" s="19">
        <f ca="1">'1ERA SERVICIOS GENERALES'!R77</f>
        <v>0</v>
      </c>
      <c r="Q310" s="21">
        <f ca="1">'1ERA SERVICIOS GENERALES'!S77</f>
        <v>26</v>
      </c>
    </row>
    <row r="311" spans="1:17" ht="39.75" customHeight="1" thickTop="1" thickBot="1">
      <c r="A311" s="53"/>
      <c r="B311" s="53"/>
      <c r="C311" s="12" t="str">
        <f ca="1">'1ERA SERVICIOS GENERALES'!A78</f>
        <v>ACCIONES DE INTERVENCION CON PINTUR A A ESCUELAS</v>
      </c>
      <c r="D311" s="18">
        <f ca="1">'1ERA SERVICIOS GENERALES'!F78</f>
        <v>20</v>
      </c>
      <c r="E311" s="19">
        <f ca="1">'1ERA SERVICIOS GENERALES'!G78</f>
        <v>0</v>
      </c>
      <c r="F311" s="19">
        <f ca="1">'1ERA SERVICIOS GENERALES'!H78</f>
        <v>0</v>
      </c>
      <c r="G311" s="19">
        <f ca="1">'1ERA SERVICIOS GENERALES'!I78</f>
        <v>0</v>
      </c>
      <c r="H311" s="19">
        <f ca="1">'1ERA SERVICIOS GENERALES'!J78</f>
        <v>0</v>
      </c>
      <c r="I311" s="19">
        <f ca="1">'1ERA SERVICIOS GENERALES'!K78</f>
        <v>0</v>
      </c>
      <c r="J311" s="19">
        <f ca="1">'1ERA SERVICIOS GENERALES'!L78</f>
        <v>0</v>
      </c>
      <c r="K311" s="19">
        <f ca="1">'1ERA SERVICIOS GENERALES'!M78</f>
        <v>0</v>
      </c>
      <c r="L311" s="19">
        <f ca="1">'1ERA SERVICIOS GENERALES'!N78</f>
        <v>0</v>
      </c>
      <c r="M311" s="19">
        <f ca="1">'1ERA SERVICIOS GENERALES'!O78</f>
        <v>0</v>
      </c>
      <c r="N311" s="19">
        <f ca="1">'1ERA SERVICIOS GENERALES'!P78</f>
        <v>0</v>
      </c>
      <c r="O311" s="19">
        <f ca="1">'1ERA SERVICIOS GENERALES'!Q78</f>
        <v>3</v>
      </c>
      <c r="P311" s="19">
        <f ca="1">'1ERA SERVICIOS GENERALES'!R78</f>
        <v>0</v>
      </c>
      <c r="Q311" s="21">
        <f ca="1">'1ERA SERVICIOS GENERALES'!S78</f>
        <v>3</v>
      </c>
    </row>
    <row r="312" spans="1:17" ht="39.75" customHeight="1" thickTop="1" thickBot="1">
      <c r="A312" s="53"/>
      <c r="B312" s="53"/>
      <c r="C312" s="12" t="str">
        <f ca="1">'1ERA SERVICIOS GENERALES'!A79</f>
        <v>PINTURA (M2) APLICADA</v>
      </c>
      <c r="D312" s="18">
        <f ca="1">'1ERA SERVICIOS GENERALES'!F79</f>
        <v>0.4</v>
      </c>
      <c r="E312" s="19">
        <f ca="1">'1ERA SERVICIOS GENERALES'!G79</f>
        <v>0</v>
      </c>
      <c r="F312" s="19">
        <f ca="1">'1ERA SERVICIOS GENERALES'!H79</f>
        <v>2</v>
      </c>
      <c r="G312" s="19">
        <f ca="1">'1ERA SERVICIOS GENERALES'!I79</f>
        <v>0</v>
      </c>
      <c r="H312" s="19">
        <f ca="1">'1ERA SERVICIOS GENERALES'!J79</f>
        <v>0</v>
      </c>
      <c r="I312" s="19">
        <f ca="1">'1ERA SERVICIOS GENERALES'!K79</f>
        <v>0</v>
      </c>
      <c r="J312" s="19">
        <f ca="1">'1ERA SERVICIOS GENERALES'!L79</f>
        <v>0</v>
      </c>
      <c r="K312" s="19">
        <f ca="1">'1ERA SERVICIOS GENERALES'!M79</f>
        <v>0</v>
      </c>
      <c r="L312" s="19">
        <f ca="1">'1ERA SERVICIOS GENERALES'!N79</f>
        <v>0</v>
      </c>
      <c r="M312" s="19">
        <f ca="1">'1ERA SERVICIOS GENERALES'!O79</f>
        <v>0</v>
      </c>
      <c r="N312" s="19">
        <f ca="1">'1ERA SERVICIOS GENERALES'!P79</f>
        <v>1</v>
      </c>
      <c r="O312" s="19">
        <f ca="1">'1ERA SERVICIOS GENERALES'!Q79</f>
        <v>0</v>
      </c>
      <c r="P312" s="19">
        <f ca="1">'1ERA SERVICIOS GENERALES'!R79</f>
        <v>1</v>
      </c>
      <c r="Q312" s="21">
        <f ca="1">'1ERA SERVICIOS GENERALES'!S79</f>
        <v>4</v>
      </c>
    </row>
    <row r="313" spans="1:17" ht="39.75" customHeight="1" thickTop="1" thickBot="1">
      <c r="A313" s="53"/>
      <c r="B313" s="53"/>
      <c r="C313" s="12" t="str">
        <f ca="1">'1ERA SERVICIOS GENERALES'!A80</f>
        <v>ACCIONES DE MANTENIMIENTO A UNIDADES DEPORTIVAS Y CAMPOS DE FÚTBOL EN LA CABECERA MUNICIPAL</v>
      </c>
      <c r="D313" s="18">
        <f ca="1">'1ERA SERVICIOS GENERALES'!F80</f>
        <v>9833.3333333333303</v>
      </c>
      <c r="E313" s="19">
        <f ca="1">'1ERA SERVICIOS GENERALES'!G80</f>
        <v>5000</v>
      </c>
      <c r="F313" s="19">
        <f ca="1">'1ERA SERVICIOS GENERALES'!H80</f>
        <v>4000</v>
      </c>
      <c r="G313" s="19">
        <f ca="1">'1ERA SERVICIOS GENERALES'!I80</f>
        <v>2800</v>
      </c>
      <c r="H313" s="19">
        <f ca="1">'1ERA SERVICIOS GENERALES'!J80</f>
        <v>0</v>
      </c>
      <c r="I313" s="19">
        <f ca="1">'1ERA SERVICIOS GENERALES'!K80</f>
        <v>0</v>
      </c>
      <c r="J313" s="19">
        <f ca="1">'1ERA SERVICIOS GENERALES'!L80</f>
        <v>0</v>
      </c>
      <c r="K313" s="19">
        <f ca="1">'1ERA SERVICIOS GENERALES'!M80</f>
        <v>0</v>
      </c>
      <c r="L313" s="19">
        <f ca="1">'1ERA SERVICIOS GENERALES'!N80</f>
        <v>0</v>
      </c>
      <c r="M313" s="19">
        <f ca="1">'1ERA SERVICIOS GENERALES'!O80</f>
        <v>0</v>
      </c>
      <c r="N313" s="19">
        <f ca="1">'1ERA SERVICIOS GENERALES'!P80</f>
        <v>0</v>
      </c>
      <c r="O313" s="19">
        <f ca="1">'1ERA SERVICIOS GENERALES'!Q80</f>
        <v>0</v>
      </c>
      <c r="P313" s="19">
        <f ca="1">'1ERA SERVICIOS GENERALES'!R80</f>
        <v>0</v>
      </c>
      <c r="Q313" s="21">
        <f ca="1">'1ERA SERVICIOS GENERALES'!S80</f>
        <v>11800</v>
      </c>
    </row>
    <row r="314" spans="1:17" ht="39.75" customHeight="1" thickTop="1" thickBot="1">
      <c r="A314" s="53"/>
      <c r="B314" s="53"/>
      <c r="C314" s="12" t="str">
        <f ca="1">'1ERA SERVICIOS GENERALES'!A81</f>
        <v>ACCIONES DE MANTENIMIENTO A PLAZAS PÚBLICAS</v>
      </c>
      <c r="D314" s="18">
        <f ca="1">'1ERA SERVICIOS GENERALES'!F81</f>
        <v>75.2173913043478</v>
      </c>
      <c r="E314" s="19">
        <f ca="1">'1ERA SERVICIOS GENERALES'!G81</f>
        <v>0</v>
      </c>
      <c r="F314" s="19">
        <f ca="1">'1ERA SERVICIOS GENERALES'!H81</f>
        <v>0</v>
      </c>
      <c r="G314" s="19">
        <f ca="1">'1ERA SERVICIOS GENERALES'!I81</f>
        <v>0</v>
      </c>
      <c r="H314" s="19">
        <f ca="1">'1ERA SERVICIOS GENERALES'!J81</f>
        <v>163</v>
      </c>
      <c r="I314" s="19">
        <f ca="1">'1ERA SERVICIOS GENERALES'!K81</f>
        <v>167</v>
      </c>
      <c r="J314" s="19">
        <f ca="1">'1ERA SERVICIOS GENERALES'!L81</f>
        <v>190</v>
      </c>
      <c r="K314" s="19">
        <f ca="1">'1ERA SERVICIOS GENERALES'!M81</f>
        <v>105</v>
      </c>
      <c r="L314" s="19">
        <f ca="1">'1ERA SERVICIOS GENERALES'!N81</f>
        <v>200</v>
      </c>
      <c r="M314" s="19">
        <f ca="1">'1ERA SERVICIOS GENERALES'!O81</f>
        <v>210</v>
      </c>
      <c r="N314" s="19">
        <f ca="1">'1ERA SERVICIOS GENERALES'!P81</f>
        <v>0</v>
      </c>
      <c r="O314" s="19">
        <f ca="1">'1ERA SERVICIOS GENERALES'!Q81</f>
        <v>1</v>
      </c>
      <c r="P314" s="19">
        <f ca="1">'1ERA SERVICIOS GENERALES'!R81</f>
        <v>2</v>
      </c>
      <c r="Q314" s="21">
        <f ca="1">'1ERA SERVICIOS GENERALES'!S81</f>
        <v>1038</v>
      </c>
    </row>
    <row r="315" spans="1:17" ht="39.75" customHeight="1" thickTop="1" thickBot="1">
      <c r="A315" s="53"/>
      <c r="B315" s="51"/>
      <c r="C315" s="12" t="str">
        <f ca="1">'1ERA SERVICIOS GENERALES'!A82</f>
        <v>ACCIONES DE MANTENIMIENTO A EDIFICIOS PÚBLICOS</v>
      </c>
      <c r="D315" s="18">
        <f ca="1">'1ERA SERVICIOS GENERALES'!F82</f>
        <v>41.6666666666666</v>
      </c>
      <c r="E315" s="19">
        <f ca="1">'1ERA SERVICIOS GENERALES'!G82</f>
        <v>0</v>
      </c>
      <c r="F315" s="19">
        <f ca="1">'1ERA SERVICIOS GENERALES'!H82</f>
        <v>0</v>
      </c>
      <c r="G315" s="19">
        <f ca="1">'1ERA SERVICIOS GENERALES'!I82</f>
        <v>1</v>
      </c>
      <c r="H315" s="19">
        <f ca="1">'1ERA SERVICIOS GENERALES'!J82</f>
        <v>0</v>
      </c>
      <c r="I315" s="19">
        <f ca="1">'1ERA SERVICIOS GENERALES'!K82</f>
        <v>0</v>
      </c>
      <c r="J315" s="19">
        <f ca="1">'1ERA SERVICIOS GENERALES'!L82</f>
        <v>0</v>
      </c>
      <c r="K315" s="19">
        <f ca="1">'1ERA SERVICIOS GENERALES'!M82</f>
        <v>2</v>
      </c>
      <c r="L315" s="19">
        <f ca="1">'1ERA SERVICIOS GENERALES'!N82</f>
        <v>1</v>
      </c>
      <c r="M315" s="19">
        <f ca="1">'1ERA SERVICIOS GENERALES'!O82</f>
        <v>1</v>
      </c>
      <c r="N315" s="19">
        <f ca="1">'1ERA SERVICIOS GENERALES'!P82</f>
        <v>0</v>
      </c>
      <c r="O315" s="19">
        <f ca="1">'1ERA SERVICIOS GENERALES'!Q82</f>
        <v>0</v>
      </c>
      <c r="P315" s="19">
        <f ca="1">'1ERA SERVICIOS GENERALES'!R82</f>
        <v>0</v>
      </c>
      <c r="Q315" s="21">
        <f ca="1">'1ERA SERVICIOS GENERALES'!S82</f>
        <v>5</v>
      </c>
    </row>
    <row r="316" spans="1:17" ht="39.75" customHeight="1" thickTop="1" thickBot="1">
      <c r="A316" s="53"/>
      <c r="B316" s="52" t="s">
        <v>362</v>
      </c>
      <c r="C316" s="12" t="str">
        <f ca="1">'1ERA SERVICIOS GENERALES'!A83</f>
        <v>SACRIFICIO HUMANITARIO DE PERROS Y GATOS</v>
      </c>
      <c r="D316" s="18">
        <f ca="1">'1ERA SERVICIOS GENERALES'!F83</f>
        <v>26.6666666666666</v>
      </c>
      <c r="E316" s="19">
        <f ca="1">'1ERA SERVICIOS GENERALES'!G83</f>
        <v>2</v>
      </c>
      <c r="F316" s="19">
        <f ca="1">'1ERA SERVICIOS GENERALES'!H83</f>
        <v>0</v>
      </c>
      <c r="G316" s="19">
        <f ca="1">'1ERA SERVICIOS GENERALES'!I83</f>
        <v>3</v>
      </c>
      <c r="H316" s="19">
        <f ca="1">'1ERA SERVICIOS GENERALES'!J83</f>
        <v>0</v>
      </c>
      <c r="I316" s="19">
        <f ca="1">'1ERA SERVICIOS GENERALES'!K83</f>
        <v>0</v>
      </c>
      <c r="J316" s="19">
        <f ca="1">'1ERA SERVICIOS GENERALES'!L83</f>
        <v>0</v>
      </c>
      <c r="K316" s="19">
        <f ca="1">'1ERA SERVICIOS GENERALES'!M83</f>
        <v>0</v>
      </c>
      <c r="L316" s="19">
        <f ca="1">'1ERA SERVICIOS GENERALES'!N83</f>
        <v>7</v>
      </c>
      <c r="M316" s="19">
        <f ca="1">'1ERA SERVICIOS GENERALES'!O83</f>
        <v>4</v>
      </c>
      <c r="N316" s="19">
        <f ca="1">'1ERA SERVICIOS GENERALES'!P83</f>
        <v>0</v>
      </c>
      <c r="O316" s="19">
        <f ca="1">'1ERA SERVICIOS GENERALES'!Q83</f>
        <v>0</v>
      </c>
      <c r="P316" s="19">
        <f ca="1">'1ERA SERVICIOS GENERALES'!R83</f>
        <v>0</v>
      </c>
      <c r="Q316" s="21">
        <f ca="1">'1ERA SERVICIOS GENERALES'!S83</f>
        <v>16</v>
      </c>
    </row>
    <row r="317" spans="1:17" ht="39.75" customHeight="1" thickTop="1" thickBot="1">
      <c r="A317" s="53"/>
      <c r="B317" s="53"/>
      <c r="C317" s="12" t="str">
        <f ca="1">'1ERA SERVICIOS GENERALES'!A84</f>
        <v>ANIMALES EN RESGUARDO EN UNIDAD DE CONTROL CANINO</v>
      </c>
      <c r="D317" s="18">
        <f ca="1">'1ERA SERVICIOS GENERALES'!F84</f>
        <v>133.333333333333</v>
      </c>
      <c r="E317" s="19">
        <f ca="1">'1ERA SERVICIOS GENERALES'!G84</f>
        <v>20</v>
      </c>
      <c r="F317" s="19">
        <f ca="1">'1ERA SERVICIOS GENERALES'!H84</f>
        <v>20</v>
      </c>
      <c r="G317" s="19">
        <f ca="1">'1ERA SERVICIOS GENERALES'!I84</f>
        <v>21</v>
      </c>
      <c r="H317" s="19">
        <f ca="1">'1ERA SERVICIOS GENERALES'!J84</f>
        <v>25</v>
      </c>
      <c r="I317" s="19">
        <f ca="1">'1ERA SERVICIOS GENERALES'!K84</f>
        <v>27</v>
      </c>
      <c r="J317" s="19">
        <f ca="1">'1ERA SERVICIOS GENERALES'!L84</f>
        <v>34</v>
      </c>
      <c r="K317" s="19">
        <f ca="1">'1ERA SERVICIOS GENERALES'!M84</f>
        <v>25</v>
      </c>
      <c r="L317" s="19">
        <f ca="1">'1ERA SERVICIOS GENERALES'!N84</f>
        <v>27</v>
      </c>
      <c r="M317" s="19">
        <f ca="1">'1ERA SERVICIOS GENERALES'!O84</f>
        <v>34</v>
      </c>
      <c r="N317" s="19">
        <f ca="1">'1ERA SERVICIOS GENERALES'!P84</f>
        <v>24</v>
      </c>
      <c r="O317" s="19">
        <f ca="1">'1ERA SERVICIOS GENERALES'!Q84</f>
        <v>29</v>
      </c>
      <c r="P317" s="19">
        <f ca="1">'1ERA SERVICIOS GENERALES'!R84</f>
        <v>34</v>
      </c>
      <c r="Q317" s="21">
        <f ca="1">'1ERA SERVICIOS GENERALES'!S84</f>
        <v>320</v>
      </c>
    </row>
    <row r="318" spans="1:17" ht="39.75" customHeight="1" thickTop="1" thickBot="1">
      <c r="A318" s="53"/>
      <c r="B318" s="53"/>
      <c r="C318" s="12" t="str">
        <f ca="1">'1ERA SERVICIOS GENERALES'!A85</f>
        <v>CAMPAÑAS PARA MASCOTAS REALIZADAS (VACUNACION, ESTERILIZACION ETC).</v>
      </c>
      <c r="D318" s="18">
        <f ca="1">'1ERA SERVICIOS GENERALES'!F85</f>
        <v>96.6666666666666</v>
      </c>
      <c r="E318" s="19">
        <f ca="1">'1ERA SERVICIOS GENERALES'!G85</f>
        <v>22</v>
      </c>
      <c r="F318" s="19">
        <f ca="1">'1ERA SERVICIOS GENERALES'!H85</f>
        <v>23</v>
      </c>
      <c r="G318" s="19">
        <f ca="1">'1ERA SERVICIOS GENERALES'!I85</f>
        <v>23</v>
      </c>
      <c r="H318" s="19">
        <f ca="1">'1ERA SERVICIOS GENERALES'!J85</f>
        <v>39</v>
      </c>
      <c r="I318" s="19">
        <f ca="1">'1ERA SERVICIOS GENERALES'!K85</f>
        <v>25</v>
      </c>
      <c r="J318" s="19">
        <f ca="1">'1ERA SERVICIOS GENERALES'!L85</f>
        <v>47</v>
      </c>
      <c r="K318" s="19">
        <f ca="1">'1ERA SERVICIOS GENERALES'!M85</f>
        <v>40</v>
      </c>
      <c r="L318" s="19">
        <f ca="1">'1ERA SERVICIOS GENERALES'!N85</f>
        <v>2</v>
      </c>
      <c r="M318" s="19">
        <f ca="1">'1ERA SERVICIOS GENERALES'!O85</f>
        <v>2</v>
      </c>
      <c r="N318" s="19">
        <f ca="1">'1ERA SERVICIOS GENERALES'!P85</f>
        <v>4</v>
      </c>
      <c r="O318" s="19">
        <f ca="1">'1ERA SERVICIOS GENERALES'!Q85</f>
        <v>3</v>
      </c>
      <c r="P318" s="19">
        <f ca="1">'1ERA SERVICIOS GENERALES'!R85</f>
        <v>2</v>
      </c>
      <c r="Q318" s="21">
        <f ca="1">'1ERA SERVICIOS GENERALES'!S85</f>
        <v>232</v>
      </c>
    </row>
    <row r="319" spans="1:17" ht="39.75" customHeight="1" thickTop="1" thickBot="1">
      <c r="A319" s="53"/>
      <c r="B319" s="53"/>
      <c r="C319" s="12" t="str">
        <f ca="1">'1ERA SERVICIOS GENERALES'!A86</f>
        <v>ANIMALES ATENDIDOS EN CAMPAÑAS DE ESTERILIZACION</v>
      </c>
      <c r="D319" s="18">
        <f ca="1">'1ERA SERVICIOS GENERALES'!F86</f>
        <v>40</v>
      </c>
      <c r="E319" s="19">
        <f ca="1">'1ERA SERVICIOS GENERALES'!G86</f>
        <v>1</v>
      </c>
      <c r="F319" s="19">
        <f ca="1">'1ERA SERVICIOS GENERALES'!H86</f>
        <v>0</v>
      </c>
      <c r="G319" s="19">
        <f ca="1">'1ERA SERVICIOS GENERALES'!I86</f>
        <v>0</v>
      </c>
      <c r="H319" s="19">
        <f ca="1">'1ERA SERVICIOS GENERALES'!J86</f>
        <v>1</v>
      </c>
      <c r="I319" s="19">
        <f ca="1">'1ERA SERVICIOS GENERALES'!K86</f>
        <v>5</v>
      </c>
      <c r="J319" s="19">
        <f ca="1">'1ERA SERVICIOS GENERALES'!L86</f>
        <v>6</v>
      </c>
      <c r="K319" s="19">
        <f ca="1">'1ERA SERVICIOS GENERALES'!M86</f>
        <v>0</v>
      </c>
      <c r="L319" s="19">
        <f ca="1">'1ERA SERVICIOS GENERALES'!N86</f>
        <v>1</v>
      </c>
      <c r="M319" s="19">
        <f ca="1">'1ERA SERVICIOS GENERALES'!O86</f>
        <v>1</v>
      </c>
      <c r="N319" s="19">
        <f ca="1">'1ERA SERVICIOS GENERALES'!P86</f>
        <v>1</v>
      </c>
      <c r="O319" s="19">
        <f ca="1">'1ERA SERVICIOS GENERALES'!Q86</f>
        <v>2</v>
      </c>
      <c r="P319" s="19">
        <f ca="1">'1ERA SERVICIOS GENERALES'!R86</f>
        <v>6</v>
      </c>
      <c r="Q319" s="21">
        <f ca="1">'1ERA SERVICIOS GENERALES'!S86</f>
        <v>24</v>
      </c>
    </row>
    <row r="320" spans="1:17" ht="39.75" customHeight="1" thickTop="1" thickBot="1">
      <c r="A320" s="51"/>
      <c r="B320" s="51"/>
      <c r="C320" s="12" t="str">
        <f ca="1">'1ERA SERVICIOS GENERALES'!A87</f>
        <v>ANIMALES VIVOS RECOGIDOS EN VIA PUBLICA</v>
      </c>
      <c r="D320" s="18">
        <f ca="1">'1ERA SERVICIOS GENERALES'!F87</f>
        <v>82.619047619047606</v>
      </c>
      <c r="E320" s="19">
        <f ca="1">'1ERA SERVICIOS GENERALES'!G87</f>
        <v>22</v>
      </c>
      <c r="F320" s="19">
        <f ca="1">'1ERA SERVICIOS GENERALES'!H87</f>
        <v>23</v>
      </c>
      <c r="G320" s="19">
        <f ca="1">'1ERA SERVICIOS GENERALES'!I87</f>
        <v>23</v>
      </c>
      <c r="H320" s="19">
        <f ca="1">'1ERA SERVICIOS GENERALES'!J87</f>
        <v>39</v>
      </c>
      <c r="I320" s="19">
        <f ca="1">'1ERA SERVICIOS GENERALES'!K87</f>
        <v>25</v>
      </c>
      <c r="J320" s="19">
        <f ca="1">'1ERA SERVICIOS GENERALES'!L87</f>
        <v>47</v>
      </c>
      <c r="K320" s="19">
        <f ca="1">'1ERA SERVICIOS GENERALES'!M87</f>
        <v>31</v>
      </c>
      <c r="L320" s="19">
        <f ca="1">'1ERA SERVICIOS GENERALES'!N87</f>
        <v>22</v>
      </c>
      <c r="M320" s="19">
        <f ca="1">'1ERA SERVICIOS GENERALES'!O87</f>
        <v>20</v>
      </c>
      <c r="N320" s="19">
        <f ca="1">'1ERA SERVICIOS GENERALES'!P87</f>
        <v>35</v>
      </c>
      <c r="O320" s="19">
        <f ca="1">'1ERA SERVICIOS GENERALES'!Q87</f>
        <v>26</v>
      </c>
      <c r="P320" s="19">
        <f ca="1">'1ERA SERVICIOS GENERALES'!R87</f>
        <v>34</v>
      </c>
      <c r="Q320" s="21">
        <f ca="1">'1ERA SERVICIOS GENERALES'!S87</f>
        <v>347</v>
      </c>
    </row>
    <row r="321" spans="1:17" ht="39.75" customHeight="1" thickTop="1" thickBot="1">
      <c r="A321" s="55" t="s">
        <v>367</v>
      </c>
      <c r="B321" s="55" t="s">
        <v>368</v>
      </c>
      <c r="C321" s="7" t="s">
        <v>369</v>
      </c>
      <c r="D321" s="18">
        <f ca="1">'1RA SEGURIDAD PUBLICA'!F2</f>
        <v>0</v>
      </c>
      <c r="E321" s="19">
        <f ca="1">'1RA SEGURIDAD PUBLICA'!G2</f>
        <v>0</v>
      </c>
      <c r="F321" s="19">
        <f ca="1">'1RA SEGURIDAD PUBLICA'!H2</f>
        <v>0</v>
      </c>
      <c r="G321" s="19">
        <f ca="1">'1RA SEGURIDAD PUBLICA'!I2</f>
        <v>0</v>
      </c>
      <c r="H321" s="19">
        <f ca="1">'1RA SEGURIDAD PUBLICA'!J2</f>
        <v>0</v>
      </c>
      <c r="I321" s="19">
        <f ca="1">'1RA SEGURIDAD PUBLICA'!K2</f>
        <v>0</v>
      </c>
      <c r="J321" s="19">
        <f ca="1">'1RA SEGURIDAD PUBLICA'!L2</f>
        <v>0</v>
      </c>
      <c r="K321" s="19">
        <f ca="1">'1RA SEGURIDAD PUBLICA'!M2</f>
        <v>0</v>
      </c>
      <c r="L321" s="19">
        <f ca="1">'1RA SEGURIDAD PUBLICA'!N2</f>
        <v>0</v>
      </c>
      <c r="M321" s="19">
        <f ca="1">'1RA SEGURIDAD PUBLICA'!O2</f>
        <v>0</v>
      </c>
      <c r="N321" s="19">
        <f ca="1">'1RA SEGURIDAD PUBLICA'!P2</f>
        <v>0</v>
      </c>
      <c r="O321" s="19">
        <f ca="1">'1RA SEGURIDAD PUBLICA'!Q2</f>
        <v>0</v>
      </c>
      <c r="P321" s="19">
        <f ca="1">'1RA SEGURIDAD PUBLICA'!R2</f>
        <v>0</v>
      </c>
      <c r="Q321" s="21">
        <f ca="1">'1RA SEGURIDAD PUBLICA'!S2</f>
        <v>0</v>
      </c>
    </row>
    <row r="322" spans="1:17" ht="39.75" customHeight="1" thickTop="1" thickBot="1">
      <c r="A322" s="53"/>
      <c r="B322" s="53"/>
      <c r="C322" s="7" t="s">
        <v>370</v>
      </c>
      <c r="D322" s="18">
        <f ca="1">'1RA SEGURIDAD PUBLICA'!F3</f>
        <v>0</v>
      </c>
      <c r="E322" s="19">
        <f ca="1">'1RA SEGURIDAD PUBLICA'!G3</f>
        <v>0</v>
      </c>
      <c r="F322" s="19">
        <f ca="1">'1RA SEGURIDAD PUBLICA'!H3</f>
        <v>0</v>
      </c>
      <c r="G322" s="19">
        <f ca="1">'1RA SEGURIDAD PUBLICA'!I3</f>
        <v>0</v>
      </c>
      <c r="H322" s="19">
        <f ca="1">'1RA SEGURIDAD PUBLICA'!J3</f>
        <v>0</v>
      </c>
      <c r="I322" s="19">
        <f ca="1">'1RA SEGURIDAD PUBLICA'!K3</f>
        <v>0</v>
      </c>
      <c r="J322" s="19">
        <f ca="1">'1RA SEGURIDAD PUBLICA'!L3</f>
        <v>0</v>
      </c>
      <c r="K322" s="19">
        <f ca="1">'1RA SEGURIDAD PUBLICA'!M3</f>
        <v>0</v>
      </c>
      <c r="L322" s="19">
        <f ca="1">'1RA SEGURIDAD PUBLICA'!N3</f>
        <v>0</v>
      </c>
      <c r="M322" s="19">
        <f ca="1">'1RA SEGURIDAD PUBLICA'!O3</f>
        <v>0</v>
      </c>
      <c r="N322" s="19">
        <f ca="1">'1RA SEGURIDAD PUBLICA'!P3</f>
        <v>0</v>
      </c>
      <c r="O322" s="19">
        <f ca="1">'1RA SEGURIDAD PUBLICA'!Q3</f>
        <v>0</v>
      </c>
      <c r="P322" s="19">
        <f ca="1">'1RA SEGURIDAD PUBLICA'!R3</f>
        <v>0</v>
      </c>
      <c r="Q322" s="21">
        <f ca="1">'1RA SEGURIDAD PUBLICA'!S3</f>
        <v>0</v>
      </c>
    </row>
    <row r="323" spans="1:17" ht="39.75" customHeight="1" thickTop="1" thickBot="1">
      <c r="A323" s="53"/>
      <c r="B323" s="53"/>
      <c r="C323" s="7" t="s">
        <v>372</v>
      </c>
      <c r="D323" s="18">
        <f ca="1">'1RA SEGURIDAD PUBLICA'!F4</f>
        <v>0</v>
      </c>
      <c r="E323" s="19">
        <f ca="1">'1RA SEGURIDAD PUBLICA'!G4</f>
        <v>0</v>
      </c>
      <c r="F323" s="19">
        <f ca="1">'1RA SEGURIDAD PUBLICA'!H4</f>
        <v>0</v>
      </c>
      <c r="G323" s="19">
        <f ca="1">'1RA SEGURIDAD PUBLICA'!I4</f>
        <v>0</v>
      </c>
      <c r="H323" s="19">
        <f ca="1">'1RA SEGURIDAD PUBLICA'!J4</f>
        <v>0</v>
      </c>
      <c r="I323" s="19">
        <f ca="1">'1RA SEGURIDAD PUBLICA'!K4</f>
        <v>0</v>
      </c>
      <c r="J323" s="19">
        <f ca="1">'1RA SEGURIDAD PUBLICA'!L4</f>
        <v>0</v>
      </c>
      <c r="K323" s="19">
        <f ca="1">'1RA SEGURIDAD PUBLICA'!M4</f>
        <v>0</v>
      </c>
      <c r="L323" s="19">
        <f ca="1">'1RA SEGURIDAD PUBLICA'!N4</f>
        <v>0</v>
      </c>
      <c r="M323" s="19">
        <f ca="1">'1RA SEGURIDAD PUBLICA'!O4</f>
        <v>0</v>
      </c>
      <c r="N323" s="19">
        <f ca="1">'1RA SEGURIDAD PUBLICA'!P4</f>
        <v>0</v>
      </c>
      <c r="O323" s="19">
        <f ca="1">'1RA SEGURIDAD PUBLICA'!Q4</f>
        <v>0</v>
      </c>
      <c r="P323" s="19">
        <f ca="1">'1RA SEGURIDAD PUBLICA'!R4</f>
        <v>0</v>
      </c>
      <c r="Q323" s="21">
        <f ca="1">'1RA SEGURIDAD PUBLICA'!S4</f>
        <v>0</v>
      </c>
    </row>
    <row r="324" spans="1:17" ht="39.75" customHeight="1" thickTop="1" thickBot="1">
      <c r="A324" s="53"/>
      <c r="B324" s="53"/>
      <c r="C324" s="7" t="s">
        <v>373</v>
      </c>
      <c r="D324" s="18">
        <f ca="1">'1RA SEGURIDAD PUBLICA'!F5</f>
        <v>0</v>
      </c>
      <c r="E324" s="19">
        <f ca="1">'1RA SEGURIDAD PUBLICA'!G5</f>
        <v>0</v>
      </c>
      <c r="F324" s="19">
        <f ca="1">'1RA SEGURIDAD PUBLICA'!H5</f>
        <v>0</v>
      </c>
      <c r="G324" s="19">
        <f ca="1">'1RA SEGURIDAD PUBLICA'!I5</f>
        <v>0</v>
      </c>
      <c r="H324" s="19">
        <f ca="1">'1RA SEGURIDAD PUBLICA'!J5</f>
        <v>0</v>
      </c>
      <c r="I324" s="19">
        <f ca="1">'1RA SEGURIDAD PUBLICA'!K5</f>
        <v>0</v>
      </c>
      <c r="J324" s="19">
        <f ca="1">'1RA SEGURIDAD PUBLICA'!L5</f>
        <v>0</v>
      </c>
      <c r="K324" s="19">
        <f ca="1">'1RA SEGURIDAD PUBLICA'!M5</f>
        <v>0</v>
      </c>
      <c r="L324" s="19">
        <f ca="1">'1RA SEGURIDAD PUBLICA'!N5</f>
        <v>0</v>
      </c>
      <c r="M324" s="19">
        <f ca="1">'1RA SEGURIDAD PUBLICA'!O5</f>
        <v>0</v>
      </c>
      <c r="N324" s="19">
        <f ca="1">'1RA SEGURIDAD PUBLICA'!P5</f>
        <v>0</v>
      </c>
      <c r="O324" s="19">
        <f ca="1">'1RA SEGURIDAD PUBLICA'!Q5</f>
        <v>0</v>
      </c>
      <c r="P324" s="19">
        <f ca="1">'1RA SEGURIDAD PUBLICA'!R5</f>
        <v>0</v>
      </c>
      <c r="Q324" s="21">
        <f ca="1">'1RA SEGURIDAD PUBLICA'!S5</f>
        <v>0</v>
      </c>
    </row>
    <row r="325" spans="1:17" ht="39.75" customHeight="1" thickTop="1" thickBot="1">
      <c r="A325" s="53"/>
      <c r="B325" s="53"/>
      <c r="C325" s="7" t="s">
        <v>374</v>
      </c>
      <c r="D325" s="18">
        <f ca="1">'1RA SEGURIDAD PUBLICA'!F6</f>
        <v>0</v>
      </c>
      <c r="E325" s="19">
        <f ca="1">'1RA SEGURIDAD PUBLICA'!G6</f>
        <v>0</v>
      </c>
      <c r="F325" s="19">
        <f ca="1">'1RA SEGURIDAD PUBLICA'!H6</f>
        <v>0</v>
      </c>
      <c r="G325" s="19">
        <f ca="1">'1RA SEGURIDAD PUBLICA'!I6</f>
        <v>0</v>
      </c>
      <c r="H325" s="19">
        <f ca="1">'1RA SEGURIDAD PUBLICA'!J6</f>
        <v>0</v>
      </c>
      <c r="I325" s="19">
        <f ca="1">'1RA SEGURIDAD PUBLICA'!K6</f>
        <v>0</v>
      </c>
      <c r="J325" s="19">
        <f ca="1">'1RA SEGURIDAD PUBLICA'!L6</f>
        <v>0</v>
      </c>
      <c r="K325" s="19">
        <f ca="1">'1RA SEGURIDAD PUBLICA'!M6</f>
        <v>0</v>
      </c>
      <c r="L325" s="19">
        <f ca="1">'1RA SEGURIDAD PUBLICA'!N6</f>
        <v>0</v>
      </c>
      <c r="M325" s="19">
        <f ca="1">'1RA SEGURIDAD PUBLICA'!O6</f>
        <v>0</v>
      </c>
      <c r="N325" s="19">
        <f ca="1">'1RA SEGURIDAD PUBLICA'!P6</f>
        <v>0</v>
      </c>
      <c r="O325" s="19">
        <f ca="1">'1RA SEGURIDAD PUBLICA'!Q6</f>
        <v>0</v>
      </c>
      <c r="P325" s="19">
        <f ca="1">'1RA SEGURIDAD PUBLICA'!R6</f>
        <v>0</v>
      </c>
      <c r="Q325" s="21">
        <f ca="1">'1RA SEGURIDAD PUBLICA'!S6</f>
        <v>0</v>
      </c>
    </row>
    <row r="326" spans="1:17" ht="39.75" customHeight="1" thickTop="1" thickBot="1">
      <c r="A326" s="53"/>
      <c r="B326" s="53"/>
      <c r="C326" s="7" t="s">
        <v>375</v>
      </c>
      <c r="D326" s="18">
        <f ca="1">'1RA SEGURIDAD PUBLICA'!F7</f>
        <v>0</v>
      </c>
      <c r="E326" s="19">
        <f ca="1">'1RA SEGURIDAD PUBLICA'!G7</f>
        <v>0</v>
      </c>
      <c r="F326" s="19">
        <f ca="1">'1RA SEGURIDAD PUBLICA'!H7</f>
        <v>0</v>
      </c>
      <c r="G326" s="19">
        <f ca="1">'1RA SEGURIDAD PUBLICA'!I7</f>
        <v>0</v>
      </c>
      <c r="H326" s="19">
        <f ca="1">'1RA SEGURIDAD PUBLICA'!J7</f>
        <v>0</v>
      </c>
      <c r="I326" s="19">
        <f ca="1">'1RA SEGURIDAD PUBLICA'!K7</f>
        <v>0</v>
      </c>
      <c r="J326" s="19">
        <f ca="1">'1RA SEGURIDAD PUBLICA'!L7</f>
        <v>0</v>
      </c>
      <c r="K326" s="19">
        <f ca="1">'1RA SEGURIDAD PUBLICA'!M7</f>
        <v>0</v>
      </c>
      <c r="L326" s="19">
        <f ca="1">'1RA SEGURIDAD PUBLICA'!N7</f>
        <v>0</v>
      </c>
      <c r="M326" s="19">
        <f ca="1">'1RA SEGURIDAD PUBLICA'!O7</f>
        <v>0</v>
      </c>
      <c r="N326" s="19">
        <f ca="1">'1RA SEGURIDAD PUBLICA'!P7</f>
        <v>0</v>
      </c>
      <c r="O326" s="19">
        <f ca="1">'1RA SEGURIDAD PUBLICA'!Q7</f>
        <v>0</v>
      </c>
      <c r="P326" s="19">
        <f ca="1">'1RA SEGURIDAD PUBLICA'!R7</f>
        <v>0</v>
      </c>
      <c r="Q326" s="21">
        <f ca="1">'1RA SEGURIDAD PUBLICA'!S7</f>
        <v>0</v>
      </c>
    </row>
    <row r="327" spans="1:17" ht="39.75" customHeight="1" thickTop="1" thickBot="1">
      <c r="A327" s="53"/>
      <c r="B327" s="53"/>
      <c r="C327" s="7" t="s">
        <v>376</v>
      </c>
      <c r="D327" s="18">
        <f ca="1">'1RA SEGURIDAD PUBLICA'!F8</f>
        <v>0</v>
      </c>
      <c r="E327" s="19">
        <f ca="1">'1RA SEGURIDAD PUBLICA'!G8</f>
        <v>0</v>
      </c>
      <c r="F327" s="19">
        <f ca="1">'1RA SEGURIDAD PUBLICA'!H8</f>
        <v>0</v>
      </c>
      <c r="G327" s="19">
        <f ca="1">'1RA SEGURIDAD PUBLICA'!I8</f>
        <v>0</v>
      </c>
      <c r="H327" s="19">
        <f ca="1">'1RA SEGURIDAD PUBLICA'!J8</f>
        <v>0</v>
      </c>
      <c r="I327" s="19">
        <f ca="1">'1RA SEGURIDAD PUBLICA'!K8</f>
        <v>0</v>
      </c>
      <c r="J327" s="19">
        <f ca="1">'1RA SEGURIDAD PUBLICA'!L8</f>
        <v>0</v>
      </c>
      <c r="K327" s="19">
        <f ca="1">'1RA SEGURIDAD PUBLICA'!M8</f>
        <v>0</v>
      </c>
      <c r="L327" s="19">
        <f ca="1">'1RA SEGURIDAD PUBLICA'!N8</f>
        <v>0</v>
      </c>
      <c r="M327" s="19">
        <f ca="1">'1RA SEGURIDAD PUBLICA'!O8</f>
        <v>0</v>
      </c>
      <c r="N327" s="19">
        <f ca="1">'1RA SEGURIDAD PUBLICA'!P8</f>
        <v>0</v>
      </c>
      <c r="O327" s="19">
        <f ca="1">'1RA SEGURIDAD PUBLICA'!Q8</f>
        <v>0</v>
      </c>
      <c r="P327" s="19">
        <f ca="1">'1RA SEGURIDAD PUBLICA'!R8</f>
        <v>0</v>
      </c>
      <c r="Q327" s="21">
        <f ca="1">'1RA SEGURIDAD PUBLICA'!S8</f>
        <v>0</v>
      </c>
    </row>
    <row r="328" spans="1:17" ht="39.75" customHeight="1" thickTop="1" thickBot="1">
      <c r="A328" s="53"/>
      <c r="B328" s="53"/>
      <c r="C328" s="7" t="s">
        <v>377</v>
      </c>
      <c r="D328" s="18">
        <f ca="1">'1RA SEGURIDAD PUBLICA'!F9</f>
        <v>0</v>
      </c>
      <c r="E328" s="19">
        <f ca="1">'1RA SEGURIDAD PUBLICA'!G9</f>
        <v>0</v>
      </c>
      <c r="F328" s="19">
        <f ca="1">'1RA SEGURIDAD PUBLICA'!H9</f>
        <v>0</v>
      </c>
      <c r="G328" s="19">
        <f ca="1">'1RA SEGURIDAD PUBLICA'!I9</f>
        <v>0</v>
      </c>
      <c r="H328" s="19">
        <f ca="1">'1RA SEGURIDAD PUBLICA'!J9</f>
        <v>0</v>
      </c>
      <c r="I328" s="19">
        <f ca="1">'1RA SEGURIDAD PUBLICA'!K9</f>
        <v>0</v>
      </c>
      <c r="J328" s="19">
        <f ca="1">'1RA SEGURIDAD PUBLICA'!L9</f>
        <v>0</v>
      </c>
      <c r="K328" s="19">
        <f ca="1">'1RA SEGURIDAD PUBLICA'!M9</f>
        <v>0</v>
      </c>
      <c r="L328" s="19">
        <f ca="1">'1RA SEGURIDAD PUBLICA'!N9</f>
        <v>0</v>
      </c>
      <c r="M328" s="19">
        <f ca="1">'1RA SEGURIDAD PUBLICA'!O9</f>
        <v>0</v>
      </c>
      <c r="N328" s="19">
        <f ca="1">'1RA SEGURIDAD PUBLICA'!P9</f>
        <v>0</v>
      </c>
      <c r="O328" s="19">
        <f ca="1">'1RA SEGURIDAD PUBLICA'!Q9</f>
        <v>0</v>
      </c>
      <c r="P328" s="19">
        <f ca="1">'1RA SEGURIDAD PUBLICA'!R9</f>
        <v>0</v>
      </c>
      <c r="Q328" s="21">
        <f ca="1">'1RA SEGURIDAD PUBLICA'!S9</f>
        <v>0</v>
      </c>
    </row>
    <row r="329" spans="1:17" ht="39.75" customHeight="1" thickTop="1" thickBot="1">
      <c r="A329" s="53"/>
      <c r="B329" s="53"/>
      <c r="C329" s="7" t="s">
        <v>378</v>
      </c>
      <c r="D329" s="18">
        <f ca="1">'1RA SEGURIDAD PUBLICA'!F10</f>
        <v>0</v>
      </c>
      <c r="E329" s="19">
        <f ca="1">'1RA SEGURIDAD PUBLICA'!G10</f>
        <v>0</v>
      </c>
      <c r="F329" s="19">
        <f ca="1">'1RA SEGURIDAD PUBLICA'!H10</f>
        <v>0</v>
      </c>
      <c r="G329" s="19">
        <f ca="1">'1RA SEGURIDAD PUBLICA'!I10</f>
        <v>0</v>
      </c>
      <c r="H329" s="19">
        <f ca="1">'1RA SEGURIDAD PUBLICA'!J10</f>
        <v>0</v>
      </c>
      <c r="I329" s="19">
        <f ca="1">'1RA SEGURIDAD PUBLICA'!K10</f>
        <v>0</v>
      </c>
      <c r="J329" s="19">
        <f ca="1">'1RA SEGURIDAD PUBLICA'!L10</f>
        <v>0</v>
      </c>
      <c r="K329" s="19">
        <f ca="1">'1RA SEGURIDAD PUBLICA'!M10</f>
        <v>0</v>
      </c>
      <c r="L329" s="19">
        <f ca="1">'1RA SEGURIDAD PUBLICA'!N10</f>
        <v>0</v>
      </c>
      <c r="M329" s="19">
        <f ca="1">'1RA SEGURIDAD PUBLICA'!O10</f>
        <v>0</v>
      </c>
      <c r="N329" s="19">
        <f ca="1">'1RA SEGURIDAD PUBLICA'!P10</f>
        <v>0</v>
      </c>
      <c r="O329" s="19">
        <f ca="1">'1RA SEGURIDAD PUBLICA'!Q10</f>
        <v>0</v>
      </c>
      <c r="P329" s="19">
        <f ca="1">'1RA SEGURIDAD PUBLICA'!R10</f>
        <v>0</v>
      </c>
      <c r="Q329" s="21">
        <f ca="1">'1RA SEGURIDAD PUBLICA'!S10</f>
        <v>0</v>
      </c>
    </row>
    <row r="330" spans="1:17" ht="39.75" customHeight="1" thickTop="1" thickBot="1">
      <c r="A330" s="53"/>
      <c r="B330" s="53"/>
      <c r="C330" s="7" t="s">
        <v>379</v>
      </c>
      <c r="D330" s="18">
        <f ca="1">'1RA SEGURIDAD PUBLICA'!F11</f>
        <v>0</v>
      </c>
      <c r="E330" s="19">
        <f ca="1">'1RA SEGURIDAD PUBLICA'!G11</f>
        <v>0</v>
      </c>
      <c r="F330" s="19">
        <f ca="1">'1RA SEGURIDAD PUBLICA'!H11</f>
        <v>0</v>
      </c>
      <c r="G330" s="19">
        <f ca="1">'1RA SEGURIDAD PUBLICA'!I11</f>
        <v>0</v>
      </c>
      <c r="H330" s="19">
        <f ca="1">'1RA SEGURIDAD PUBLICA'!J11</f>
        <v>0</v>
      </c>
      <c r="I330" s="19">
        <f ca="1">'1RA SEGURIDAD PUBLICA'!K11</f>
        <v>0</v>
      </c>
      <c r="J330" s="19">
        <f ca="1">'1RA SEGURIDAD PUBLICA'!L11</f>
        <v>0</v>
      </c>
      <c r="K330" s="19">
        <f ca="1">'1RA SEGURIDAD PUBLICA'!M11</f>
        <v>0</v>
      </c>
      <c r="L330" s="19">
        <f ca="1">'1RA SEGURIDAD PUBLICA'!N11</f>
        <v>0</v>
      </c>
      <c r="M330" s="19">
        <f ca="1">'1RA SEGURIDAD PUBLICA'!O11</f>
        <v>0</v>
      </c>
      <c r="N330" s="19">
        <f ca="1">'1RA SEGURIDAD PUBLICA'!P11</f>
        <v>0</v>
      </c>
      <c r="O330" s="19">
        <f ca="1">'1RA SEGURIDAD PUBLICA'!Q11</f>
        <v>0</v>
      </c>
      <c r="P330" s="19">
        <f ca="1">'1RA SEGURIDAD PUBLICA'!R11</f>
        <v>0</v>
      </c>
      <c r="Q330" s="21">
        <f ca="1">'1RA SEGURIDAD PUBLICA'!S11</f>
        <v>0</v>
      </c>
    </row>
    <row r="331" spans="1:17" ht="39.75" customHeight="1" thickTop="1" thickBot="1">
      <c r="A331" s="53"/>
      <c r="B331" s="53"/>
      <c r="C331" s="7" t="s">
        <v>380</v>
      </c>
      <c r="D331" s="18">
        <f ca="1">'1RA SEGURIDAD PUBLICA'!F12</f>
        <v>0</v>
      </c>
      <c r="E331" s="19">
        <f ca="1">'1RA SEGURIDAD PUBLICA'!G12</f>
        <v>0</v>
      </c>
      <c r="F331" s="19">
        <f ca="1">'1RA SEGURIDAD PUBLICA'!H12</f>
        <v>0</v>
      </c>
      <c r="G331" s="19">
        <f ca="1">'1RA SEGURIDAD PUBLICA'!I12</f>
        <v>0</v>
      </c>
      <c r="H331" s="19">
        <f ca="1">'1RA SEGURIDAD PUBLICA'!J12</f>
        <v>0</v>
      </c>
      <c r="I331" s="19">
        <f ca="1">'1RA SEGURIDAD PUBLICA'!K12</f>
        <v>0</v>
      </c>
      <c r="J331" s="19">
        <f ca="1">'1RA SEGURIDAD PUBLICA'!L12</f>
        <v>0</v>
      </c>
      <c r="K331" s="19">
        <f ca="1">'1RA SEGURIDAD PUBLICA'!M12</f>
        <v>0</v>
      </c>
      <c r="L331" s="19">
        <f ca="1">'1RA SEGURIDAD PUBLICA'!N12</f>
        <v>0</v>
      </c>
      <c r="M331" s="19">
        <f ca="1">'1RA SEGURIDAD PUBLICA'!O12</f>
        <v>0</v>
      </c>
      <c r="N331" s="19">
        <f ca="1">'1RA SEGURIDAD PUBLICA'!P12</f>
        <v>0</v>
      </c>
      <c r="O331" s="19">
        <f ca="1">'1RA SEGURIDAD PUBLICA'!Q12</f>
        <v>0</v>
      </c>
      <c r="P331" s="19">
        <f ca="1">'1RA SEGURIDAD PUBLICA'!R12</f>
        <v>0</v>
      </c>
      <c r="Q331" s="21">
        <f ca="1">'1RA SEGURIDAD PUBLICA'!S12</f>
        <v>0</v>
      </c>
    </row>
    <row r="332" spans="1:17" ht="39.75" customHeight="1" thickTop="1" thickBot="1">
      <c r="A332" s="53"/>
      <c r="B332" s="53"/>
      <c r="C332" s="7" t="s">
        <v>381</v>
      </c>
      <c r="D332" s="18">
        <f ca="1">'1RA SEGURIDAD PUBLICA'!F13</f>
        <v>0</v>
      </c>
      <c r="E332" s="19">
        <f ca="1">'1RA SEGURIDAD PUBLICA'!G13</f>
        <v>0</v>
      </c>
      <c r="F332" s="19">
        <f ca="1">'1RA SEGURIDAD PUBLICA'!H13</f>
        <v>0</v>
      </c>
      <c r="G332" s="19">
        <f ca="1">'1RA SEGURIDAD PUBLICA'!I13</f>
        <v>0</v>
      </c>
      <c r="H332" s="19">
        <f ca="1">'1RA SEGURIDAD PUBLICA'!J13</f>
        <v>0</v>
      </c>
      <c r="I332" s="19">
        <f ca="1">'1RA SEGURIDAD PUBLICA'!K13</f>
        <v>0</v>
      </c>
      <c r="J332" s="19">
        <f ca="1">'1RA SEGURIDAD PUBLICA'!L13</f>
        <v>0</v>
      </c>
      <c r="K332" s="19">
        <f ca="1">'1RA SEGURIDAD PUBLICA'!M13</f>
        <v>0</v>
      </c>
      <c r="L332" s="19">
        <f ca="1">'1RA SEGURIDAD PUBLICA'!N13</f>
        <v>0</v>
      </c>
      <c r="M332" s="19">
        <f ca="1">'1RA SEGURIDAD PUBLICA'!O13</f>
        <v>0</v>
      </c>
      <c r="N332" s="19">
        <f ca="1">'1RA SEGURIDAD PUBLICA'!P13</f>
        <v>0</v>
      </c>
      <c r="O332" s="19">
        <f ca="1">'1RA SEGURIDAD PUBLICA'!Q13</f>
        <v>0</v>
      </c>
      <c r="P332" s="19">
        <f ca="1">'1RA SEGURIDAD PUBLICA'!R13</f>
        <v>0</v>
      </c>
      <c r="Q332" s="21">
        <f ca="1">'1RA SEGURIDAD PUBLICA'!S13</f>
        <v>0</v>
      </c>
    </row>
    <row r="333" spans="1:17" ht="39.75" customHeight="1" thickTop="1" thickBot="1">
      <c r="A333" s="53"/>
      <c r="B333" s="53"/>
      <c r="C333" s="7" t="s">
        <v>382</v>
      </c>
      <c r="D333" s="18">
        <f ca="1">'1RA SEGURIDAD PUBLICA'!F14</f>
        <v>0</v>
      </c>
      <c r="E333" s="19">
        <f ca="1">'1RA SEGURIDAD PUBLICA'!G14</f>
        <v>0</v>
      </c>
      <c r="F333" s="19">
        <f ca="1">'1RA SEGURIDAD PUBLICA'!H14</f>
        <v>0</v>
      </c>
      <c r="G333" s="19">
        <f ca="1">'1RA SEGURIDAD PUBLICA'!I14</f>
        <v>0</v>
      </c>
      <c r="H333" s="19">
        <f ca="1">'1RA SEGURIDAD PUBLICA'!J14</f>
        <v>0</v>
      </c>
      <c r="I333" s="19">
        <f ca="1">'1RA SEGURIDAD PUBLICA'!K14</f>
        <v>0</v>
      </c>
      <c r="J333" s="19">
        <f ca="1">'1RA SEGURIDAD PUBLICA'!L14</f>
        <v>0</v>
      </c>
      <c r="K333" s="19">
        <f ca="1">'1RA SEGURIDAD PUBLICA'!M14</f>
        <v>0</v>
      </c>
      <c r="L333" s="19">
        <f ca="1">'1RA SEGURIDAD PUBLICA'!N14</f>
        <v>0</v>
      </c>
      <c r="M333" s="19">
        <f ca="1">'1RA SEGURIDAD PUBLICA'!O14</f>
        <v>0</v>
      </c>
      <c r="N333" s="19">
        <f ca="1">'1RA SEGURIDAD PUBLICA'!P14</f>
        <v>0</v>
      </c>
      <c r="O333" s="19">
        <f ca="1">'1RA SEGURIDAD PUBLICA'!Q14</f>
        <v>0</v>
      </c>
      <c r="P333" s="19">
        <f ca="1">'1RA SEGURIDAD PUBLICA'!R14</f>
        <v>0</v>
      </c>
      <c r="Q333" s="21">
        <f ca="1">'1RA SEGURIDAD PUBLICA'!S14</f>
        <v>0</v>
      </c>
    </row>
    <row r="334" spans="1:17" ht="39.75" customHeight="1" thickTop="1" thickBot="1">
      <c r="A334" s="53"/>
      <c r="B334" s="53"/>
      <c r="C334" s="7" t="s">
        <v>383</v>
      </c>
      <c r="D334" s="18">
        <f ca="1">'1RA SEGURIDAD PUBLICA'!F15</f>
        <v>0</v>
      </c>
      <c r="E334" s="19">
        <f ca="1">'1RA SEGURIDAD PUBLICA'!G15</f>
        <v>0</v>
      </c>
      <c r="F334" s="19">
        <f ca="1">'1RA SEGURIDAD PUBLICA'!H15</f>
        <v>0</v>
      </c>
      <c r="G334" s="19">
        <f ca="1">'1RA SEGURIDAD PUBLICA'!I15</f>
        <v>0</v>
      </c>
      <c r="H334" s="19">
        <f ca="1">'1RA SEGURIDAD PUBLICA'!J15</f>
        <v>0</v>
      </c>
      <c r="I334" s="19">
        <f ca="1">'1RA SEGURIDAD PUBLICA'!K15</f>
        <v>0</v>
      </c>
      <c r="J334" s="19">
        <f ca="1">'1RA SEGURIDAD PUBLICA'!L15</f>
        <v>0</v>
      </c>
      <c r="K334" s="19">
        <f ca="1">'1RA SEGURIDAD PUBLICA'!M15</f>
        <v>0</v>
      </c>
      <c r="L334" s="19">
        <f ca="1">'1RA SEGURIDAD PUBLICA'!N15</f>
        <v>0</v>
      </c>
      <c r="M334" s="19">
        <f ca="1">'1RA SEGURIDAD PUBLICA'!O15</f>
        <v>0</v>
      </c>
      <c r="N334" s="19">
        <f ca="1">'1RA SEGURIDAD PUBLICA'!P15</f>
        <v>0</v>
      </c>
      <c r="O334" s="19">
        <f ca="1">'1RA SEGURIDAD PUBLICA'!Q15</f>
        <v>0</v>
      </c>
      <c r="P334" s="19">
        <f ca="1">'1RA SEGURIDAD PUBLICA'!R15</f>
        <v>0</v>
      </c>
      <c r="Q334" s="21">
        <f ca="1">'1RA SEGURIDAD PUBLICA'!S15</f>
        <v>0</v>
      </c>
    </row>
    <row r="335" spans="1:17" ht="39.75" customHeight="1" thickTop="1" thickBot="1">
      <c r="A335" s="53"/>
      <c r="B335" s="53"/>
      <c r="C335" s="7" t="s">
        <v>384</v>
      </c>
      <c r="D335" s="18">
        <f ca="1">'1RA SEGURIDAD PUBLICA'!F16</f>
        <v>0</v>
      </c>
      <c r="E335" s="19">
        <f ca="1">'1RA SEGURIDAD PUBLICA'!G16</f>
        <v>0</v>
      </c>
      <c r="F335" s="19">
        <f ca="1">'1RA SEGURIDAD PUBLICA'!H16</f>
        <v>0</v>
      </c>
      <c r="G335" s="19">
        <f ca="1">'1RA SEGURIDAD PUBLICA'!I16</f>
        <v>0</v>
      </c>
      <c r="H335" s="19">
        <f ca="1">'1RA SEGURIDAD PUBLICA'!J16</f>
        <v>0</v>
      </c>
      <c r="I335" s="19">
        <f ca="1">'1RA SEGURIDAD PUBLICA'!K16</f>
        <v>0</v>
      </c>
      <c r="J335" s="19">
        <f ca="1">'1RA SEGURIDAD PUBLICA'!L16</f>
        <v>0</v>
      </c>
      <c r="K335" s="19">
        <f ca="1">'1RA SEGURIDAD PUBLICA'!M16</f>
        <v>0</v>
      </c>
      <c r="L335" s="19">
        <f ca="1">'1RA SEGURIDAD PUBLICA'!N16</f>
        <v>0</v>
      </c>
      <c r="M335" s="19">
        <f ca="1">'1RA SEGURIDAD PUBLICA'!O16</f>
        <v>0</v>
      </c>
      <c r="N335" s="19">
        <f ca="1">'1RA SEGURIDAD PUBLICA'!P16</f>
        <v>0</v>
      </c>
      <c r="O335" s="19">
        <f ca="1">'1RA SEGURIDAD PUBLICA'!Q16</f>
        <v>0</v>
      </c>
      <c r="P335" s="19">
        <f ca="1">'1RA SEGURIDAD PUBLICA'!R16</f>
        <v>0</v>
      </c>
      <c r="Q335" s="21">
        <f ca="1">'1RA SEGURIDAD PUBLICA'!S16</f>
        <v>0</v>
      </c>
    </row>
    <row r="336" spans="1:17" ht="39.75" customHeight="1" thickTop="1" thickBot="1">
      <c r="A336" s="53"/>
      <c r="B336" s="53"/>
      <c r="C336" s="7" t="s">
        <v>385</v>
      </c>
      <c r="D336" s="18">
        <f ca="1">'1RA SEGURIDAD PUBLICA'!F17</f>
        <v>0</v>
      </c>
      <c r="E336" s="19">
        <f ca="1">'1RA SEGURIDAD PUBLICA'!G17</f>
        <v>0</v>
      </c>
      <c r="F336" s="19">
        <f ca="1">'1RA SEGURIDAD PUBLICA'!H17</f>
        <v>0</v>
      </c>
      <c r="G336" s="19">
        <f ca="1">'1RA SEGURIDAD PUBLICA'!I17</f>
        <v>0</v>
      </c>
      <c r="H336" s="19">
        <f ca="1">'1RA SEGURIDAD PUBLICA'!J17</f>
        <v>0</v>
      </c>
      <c r="I336" s="19">
        <f ca="1">'1RA SEGURIDAD PUBLICA'!K17</f>
        <v>0</v>
      </c>
      <c r="J336" s="19">
        <f ca="1">'1RA SEGURIDAD PUBLICA'!L17</f>
        <v>0</v>
      </c>
      <c r="K336" s="19">
        <f ca="1">'1RA SEGURIDAD PUBLICA'!M17</f>
        <v>0</v>
      </c>
      <c r="L336" s="19">
        <f ca="1">'1RA SEGURIDAD PUBLICA'!N17</f>
        <v>0</v>
      </c>
      <c r="M336" s="19">
        <f ca="1">'1RA SEGURIDAD PUBLICA'!O17</f>
        <v>0</v>
      </c>
      <c r="N336" s="19">
        <f ca="1">'1RA SEGURIDAD PUBLICA'!P17</f>
        <v>0</v>
      </c>
      <c r="O336" s="19">
        <f ca="1">'1RA SEGURIDAD PUBLICA'!Q17</f>
        <v>0</v>
      </c>
      <c r="P336" s="19">
        <f ca="1">'1RA SEGURIDAD PUBLICA'!R17</f>
        <v>0</v>
      </c>
      <c r="Q336" s="21">
        <f ca="1">'1RA SEGURIDAD PUBLICA'!S17</f>
        <v>0</v>
      </c>
    </row>
    <row r="337" spans="1:17" ht="39.75" customHeight="1" thickTop="1" thickBot="1">
      <c r="A337" s="53"/>
      <c r="B337" s="53"/>
      <c r="C337" s="7" t="s">
        <v>386</v>
      </c>
      <c r="D337" s="18">
        <f ca="1">'1RA SEGURIDAD PUBLICA'!F18</f>
        <v>0</v>
      </c>
      <c r="E337" s="19">
        <f ca="1">'1RA SEGURIDAD PUBLICA'!G18</f>
        <v>0</v>
      </c>
      <c r="F337" s="19">
        <f ca="1">'1RA SEGURIDAD PUBLICA'!H18</f>
        <v>0</v>
      </c>
      <c r="G337" s="19">
        <f ca="1">'1RA SEGURIDAD PUBLICA'!I18</f>
        <v>0</v>
      </c>
      <c r="H337" s="19">
        <f ca="1">'1RA SEGURIDAD PUBLICA'!J18</f>
        <v>0</v>
      </c>
      <c r="I337" s="19">
        <f ca="1">'1RA SEGURIDAD PUBLICA'!K18</f>
        <v>0</v>
      </c>
      <c r="J337" s="19">
        <f ca="1">'1RA SEGURIDAD PUBLICA'!L18</f>
        <v>0</v>
      </c>
      <c r="K337" s="19">
        <f ca="1">'1RA SEGURIDAD PUBLICA'!M18</f>
        <v>0</v>
      </c>
      <c r="L337" s="19">
        <f ca="1">'1RA SEGURIDAD PUBLICA'!N18</f>
        <v>0</v>
      </c>
      <c r="M337" s="19">
        <f ca="1">'1RA SEGURIDAD PUBLICA'!O18</f>
        <v>0</v>
      </c>
      <c r="N337" s="19">
        <f ca="1">'1RA SEGURIDAD PUBLICA'!P18</f>
        <v>0</v>
      </c>
      <c r="O337" s="19">
        <f ca="1">'1RA SEGURIDAD PUBLICA'!Q18</f>
        <v>0</v>
      </c>
      <c r="P337" s="19">
        <f ca="1">'1RA SEGURIDAD PUBLICA'!R18</f>
        <v>0</v>
      </c>
      <c r="Q337" s="21">
        <f ca="1">'1RA SEGURIDAD PUBLICA'!S18</f>
        <v>0</v>
      </c>
    </row>
    <row r="338" spans="1:17" ht="39.75" customHeight="1" thickTop="1" thickBot="1">
      <c r="A338" s="53"/>
      <c r="B338" s="53"/>
      <c r="C338" s="7" t="s">
        <v>387</v>
      </c>
      <c r="D338" s="18">
        <f ca="1">'1RA SEGURIDAD PUBLICA'!F19</f>
        <v>0</v>
      </c>
      <c r="E338" s="19">
        <f ca="1">'1RA SEGURIDAD PUBLICA'!G19</f>
        <v>0</v>
      </c>
      <c r="F338" s="19">
        <f ca="1">'1RA SEGURIDAD PUBLICA'!H19</f>
        <v>0</v>
      </c>
      <c r="G338" s="19">
        <f ca="1">'1RA SEGURIDAD PUBLICA'!I19</f>
        <v>0</v>
      </c>
      <c r="H338" s="19">
        <f ca="1">'1RA SEGURIDAD PUBLICA'!J19</f>
        <v>0</v>
      </c>
      <c r="I338" s="19">
        <f ca="1">'1RA SEGURIDAD PUBLICA'!K19</f>
        <v>0</v>
      </c>
      <c r="J338" s="19">
        <f ca="1">'1RA SEGURIDAD PUBLICA'!L19</f>
        <v>0</v>
      </c>
      <c r="K338" s="19">
        <f ca="1">'1RA SEGURIDAD PUBLICA'!M19</f>
        <v>0</v>
      </c>
      <c r="L338" s="19">
        <f ca="1">'1RA SEGURIDAD PUBLICA'!N19</f>
        <v>0</v>
      </c>
      <c r="M338" s="19">
        <f ca="1">'1RA SEGURIDAD PUBLICA'!O19</f>
        <v>0</v>
      </c>
      <c r="N338" s="19">
        <f ca="1">'1RA SEGURIDAD PUBLICA'!P19</f>
        <v>0</v>
      </c>
      <c r="O338" s="19">
        <f ca="1">'1RA SEGURIDAD PUBLICA'!Q19</f>
        <v>0</v>
      </c>
      <c r="P338" s="19">
        <f ca="1">'1RA SEGURIDAD PUBLICA'!R19</f>
        <v>0</v>
      </c>
      <c r="Q338" s="21">
        <f ca="1">'1RA SEGURIDAD PUBLICA'!S19</f>
        <v>0</v>
      </c>
    </row>
    <row r="339" spans="1:17" ht="39.75" customHeight="1" thickTop="1" thickBot="1">
      <c r="A339" s="53"/>
      <c r="B339" s="53"/>
      <c r="C339" s="7" t="s">
        <v>388</v>
      </c>
      <c r="D339" s="18">
        <f ca="1">'1RA SEGURIDAD PUBLICA'!F20</f>
        <v>0</v>
      </c>
      <c r="E339" s="19">
        <f ca="1">'1RA SEGURIDAD PUBLICA'!G20</f>
        <v>0</v>
      </c>
      <c r="F339" s="19">
        <f ca="1">'1RA SEGURIDAD PUBLICA'!H20</f>
        <v>0</v>
      </c>
      <c r="G339" s="19">
        <f ca="1">'1RA SEGURIDAD PUBLICA'!I20</f>
        <v>0</v>
      </c>
      <c r="H339" s="19">
        <f ca="1">'1RA SEGURIDAD PUBLICA'!J20</f>
        <v>0</v>
      </c>
      <c r="I339" s="19">
        <f ca="1">'1RA SEGURIDAD PUBLICA'!K20</f>
        <v>0</v>
      </c>
      <c r="J339" s="19">
        <f ca="1">'1RA SEGURIDAD PUBLICA'!L20</f>
        <v>0</v>
      </c>
      <c r="K339" s="19">
        <f ca="1">'1RA SEGURIDAD PUBLICA'!M20</f>
        <v>0</v>
      </c>
      <c r="L339" s="19">
        <f ca="1">'1RA SEGURIDAD PUBLICA'!N20</f>
        <v>0</v>
      </c>
      <c r="M339" s="19">
        <f ca="1">'1RA SEGURIDAD PUBLICA'!O20</f>
        <v>0</v>
      </c>
      <c r="N339" s="19">
        <f ca="1">'1RA SEGURIDAD PUBLICA'!P20</f>
        <v>0</v>
      </c>
      <c r="O339" s="19">
        <f ca="1">'1RA SEGURIDAD PUBLICA'!Q20</f>
        <v>0</v>
      </c>
      <c r="P339" s="19">
        <f ca="1">'1RA SEGURIDAD PUBLICA'!R20</f>
        <v>0</v>
      </c>
      <c r="Q339" s="21">
        <f ca="1">'1RA SEGURIDAD PUBLICA'!S20</f>
        <v>0</v>
      </c>
    </row>
    <row r="340" spans="1:17" ht="39.75" customHeight="1" thickTop="1" thickBot="1">
      <c r="A340" s="53"/>
      <c r="B340" s="53"/>
      <c r="C340" s="7" t="s">
        <v>390</v>
      </c>
      <c r="D340" s="18">
        <f ca="1">'1RA SEGURIDAD PUBLICA'!F21</f>
        <v>0</v>
      </c>
      <c r="E340" s="19">
        <f ca="1">'1RA SEGURIDAD PUBLICA'!G21</f>
        <v>0</v>
      </c>
      <c r="F340" s="19">
        <f ca="1">'1RA SEGURIDAD PUBLICA'!H21</f>
        <v>0</v>
      </c>
      <c r="G340" s="19">
        <f ca="1">'1RA SEGURIDAD PUBLICA'!I21</f>
        <v>0</v>
      </c>
      <c r="H340" s="19">
        <f ca="1">'1RA SEGURIDAD PUBLICA'!J21</f>
        <v>0</v>
      </c>
      <c r="I340" s="19">
        <f ca="1">'1RA SEGURIDAD PUBLICA'!K21</f>
        <v>0</v>
      </c>
      <c r="J340" s="19">
        <f ca="1">'1RA SEGURIDAD PUBLICA'!L21</f>
        <v>0</v>
      </c>
      <c r="K340" s="19">
        <f ca="1">'1RA SEGURIDAD PUBLICA'!M21</f>
        <v>0</v>
      </c>
      <c r="L340" s="19">
        <f ca="1">'1RA SEGURIDAD PUBLICA'!N21</f>
        <v>0</v>
      </c>
      <c r="M340" s="19">
        <f ca="1">'1RA SEGURIDAD PUBLICA'!O21</f>
        <v>0</v>
      </c>
      <c r="N340" s="19">
        <f ca="1">'1RA SEGURIDAD PUBLICA'!P21</f>
        <v>0</v>
      </c>
      <c r="O340" s="19">
        <f ca="1">'1RA SEGURIDAD PUBLICA'!Q21</f>
        <v>0</v>
      </c>
      <c r="P340" s="19">
        <f ca="1">'1RA SEGURIDAD PUBLICA'!R21</f>
        <v>0</v>
      </c>
      <c r="Q340" s="21">
        <f ca="1">'1RA SEGURIDAD PUBLICA'!S21</f>
        <v>0</v>
      </c>
    </row>
    <row r="341" spans="1:17" ht="39.75" customHeight="1" thickTop="1" thickBot="1">
      <c r="A341" s="53"/>
      <c r="B341" s="53"/>
      <c r="C341" s="7" t="s">
        <v>392</v>
      </c>
      <c r="D341" s="18">
        <f ca="1">'1RA SEGURIDAD PUBLICA'!F22</f>
        <v>0</v>
      </c>
      <c r="E341" s="19">
        <f ca="1">'1RA SEGURIDAD PUBLICA'!G22</f>
        <v>0</v>
      </c>
      <c r="F341" s="19">
        <f ca="1">'1RA SEGURIDAD PUBLICA'!H22</f>
        <v>0</v>
      </c>
      <c r="G341" s="19">
        <f ca="1">'1RA SEGURIDAD PUBLICA'!I22</f>
        <v>0</v>
      </c>
      <c r="H341" s="19">
        <f ca="1">'1RA SEGURIDAD PUBLICA'!J22</f>
        <v>0</v>
      </c>
      <c r="I341" s="19">
        <f ca="1">'1RA SEGURIDAD PUBLICA'!K22</f>
        <v>0</v>
      </c>
      <c r="J341" s="19">
        <f ca="1">'1RA SEGURIDAD PUBLICA'!L22</f>
        <v>0</v>
      </c>
      <c r="K341" s="19">
        <f ca="1">'1RA SEGURIDAD PUBLICA'!M22</f>
        <v>0</v>
      </c>
      <c r="L341" s="19">
        <f ca="1">'1RA SEGURIDAD PUBLICA'!N22</f>
        <v>0</v>
      </c>
      <c r="M341" s="19">
        <f ca="1">'1RA SEGURIDAD PUBLICA'!O22</f>
        <v>0</v>
      </c>
      <c r="N341" s="19">
        <f ca="1">'1RA SEGURIDAD PUBLICA'!P22</f>
        <v>0</v>
      </c>
      <c r="O341" s="19">
        <f ca="1">'1RA SEGURIDAD PUBLICA'!Q22</f>
        <v>0</v>
      </c>
      <c r="P341" s="19">
        <f ca="1">'1RA SEGURIDAD PUBLICA'!R22</f>
        <v>0</v>
      </c>
      <c r="Q341" s="21">
        <f ca="1">'1RA SEGURIDAD PUBLICA'!S22</f>
        <v>0</v>
      </c>
    </row>
    <row r="342" spans="1:17" ht="39.75" customHeight="1" thickTop="1" thickBot="1">
      <c r="A342" s="53"/>
      <c r="B342" s="53"/>
      <c r="C342" s="7" t="s">
        <v>394</v>
      </c>
      <c r="D342" s="18">
        <f ca="1">'1RA SEGURIDAD PUBLICA'!F23</f>
        <v>2100</v>
      </c>
      <c r="E342" s="19">
        <f ca="1">'1RA SEGURIDAD PUBLICA'!G23</f>
        <v>3</v>
      </c>
      <c r="F342" s="19">
        <f ca="1">'1RA SEGURIDAD PUBLICA'!H23</f>
        <v>2</v>
      </c>
      <c r="G342" s="19">
        <f ca="1">'1RA SEGURIDAD PUBLICA'!I23</f>
        <v>0</v>
      </c>
      <c r="H342" s="19">
        <f ca="1">'1RA SEGURIDAD PUBLICA'!J23</f>
        <v>0</v>
      </c>
      <c r="I342" s="19">
        <f ca="1">'1RA SEGURIDAD PUBLICA'!K23</f>
        <v>0</v>
      </c>
      <c r="J342" s="19">
        <f ca="1">'1RA SEGURIDAD PUBLICA'!L23</f>
        <v>0</v>
      </c>
      <c r="K342" s="19">
        <f ca="1">'1RA SEGURIDAD PUBLICA'!M23</f>
        <v>3</v>
      </c>
      <c r="L342" s="19">
        <f ca="1">'1RA SEGURIDAD PUBLICA'!N23</f>
        <v>5</v>
      </c>
      <c r="M342" s="19">
        <f ca="1">'1RA SEGURIDAD PUBLICA'!O23</f>
        <v>1</v>
      </c>
      <c r="N342" s="19">
        <f ca="1">'1RA SEGURIDAD PUBLICA'!P23</f>
        <v>5</v>
      </c>
      <c r="O342" s="19">
        <f ca="1">'1RA SEGURIDAD PUBLICA'!Q23</f>
        <v>1</v>
      </c>
      <c r="P342" s="19">
        <f ca="1">'1RA SEGURIDAD PUBLICA'!R23</f>
        <v>1</v>
      </c>
      <c r="Q342" s="21">
        <f ca="1">'1RA SEGURIDAD PUBLICA'!S23</f>
        <v>21</v>
      </c>
    </row>
    <row r="343" spans="1:17" ht="39.75" customHeight="1" thickTop="1" thickBot="1">
      <c r="A343" s="53"/>
      <c r="B343" s="53"/>
      <c r="C343" s="7" t="s">
        <v>396</v>
      </c>
      <c r="D343" s="18">
        <f ca="1">'1RA SEGURIDAD PUBLICA'!F24</f>
        <v>0</v>
      </c>
      <c r="E343" s="19">
        <f ca="1">'1RA SEGURIDAD PUBLICA'!G24</f>
        <v>0</v>
      </c>
      <c r="F343" s="19">
        <f ca="1">'1RA SEGURIDAD PUBLICA'!H24</f>
        <v>0</v>
      </c>
      <c r="G343" s="19">
        <f ca="1">'1RA SEGURIDAD PUBLICA'!I24</f>
        <v>0</v>
      </c>
      <c r="H343" s="19">
        <f ca="1">'1RA SEGURIDAD PUBLICA'!J24</f>
        <v>0</v>
      </c>
      <c r="I343" s="19">
        <f ca="1">'1RA SEGURIDAD PUBLICA'!K24</f>
        <v>0</v>
      </c>
      <c r="J343" s="19">
        <f ca="1">'1RA SEGURIDAD PUBLICA'!L24</f>
        <v>0</v>
      </c>
      <c r="K343" s="19">
        <f ca="1">'1RA SEGURIDAD PUBLICA'!M24</f>
        <v>0</v>
      </c>
      <c r="L343" s="19">
        <f ca="1">'1RA SEGURIDAD PUBLICA'!N24</f>
        <v>0</v>
      </c>
      <c r="M343" s="19">
        <f ca="1">'1RA SEGURIDAD PUBLICA'!O24</f>
        <v>0</v>
      </c>
      <c r="N343" s="19">
        <f ca="1">'1RA SEGURIDAD PUBLICA'!P24</f>
        <v>0</v>
      </c>
      <c r="O343" s="19">
        <f ca="1">'1RA SEGURIDAD PUBLICA'!Q24</f>
        <v>0</v>
      </c>
      <c r="P343" s="19">
        <f ca="1">'1RA SEGURIDAD PUBLICA'!R24</f>
        <v>0</v>
      </c>
      <c r="Q343" s="21">
        <f ca="1">'1RA SEGURIDAD PUBLICA'!S24</f>
        <v>0</v>
      </c>
    </row>
    <row r="344" spans="1:17" ht="39.75" customHeight="1" thickTop="1" thickBot="1">
      <c r="A344" s="53"/>
      <c r="B344" s="53"/>
      <c r="C344" s="7" t="s">
        <v>398</v>
      </c>
      <c r="D344" s="18">
        <f ca="1">'1RA SEGURIDAD PUBLICA'!F25</f>
        <v>0</v>
      </c>
      <c r="E344" s="19">
        <f ca="1">'1RA SEGURIDAD PUBLICA'!G25</f>
        <v>0</v>
      </c>
      <c r="F344" s="19">
        <f ca="1">'1RA SEGURIDAD PUBLICA'!H25</f>
        <v>0</v>
      </c>
      <c r="G344" s="19">
        <f ca="1">'1RA SEGURIDAD PUBLICA'!I25</f>
        <v>0</v>
      </c>
      <c r="H344" s="19">
        <f ca="1">'1RA SEGURIDAD PUBLICA'!J25</f>
        <v>0</v>
      </c>
      <c r="I344" s="19">
        <f ca="1">'1RA SEGURIDAD PUBLICA'!K25</f>
        <v>0</v>
      </c>
      <c r="J344" s="19">
        <f ca="1">'1RA SEGURIDAD PUBLICA'!L25</f>
        <v>0</v>
      </c>
      <c r="K344" s="19">
        <f ca="1">'1RA SEGURIDAD PUBLICA'!M25</f>
        <v>0</v>
      </c>
      <c r="L344" s="19">
        <f ca="1">'1RA SEGURIDAD PUBLICA'!N25</f>
        <v>0</v>
      </c>
      <c r="M344" s="19">
        <f ca="1">'1RA SEGURIDAD PUBLICA'!O25</f>
        <v>0</v>
      </c>
      <c r="N344" s="19">
        <f ca="1">'1RA SEGURIDAD PUBLICA'!P25</f>
        <v>0</v>
      </c>
      <c r="O344" s="19">
        <f ca="1">'1RA SEGURIDAD PUBLICA'!Q25</f>
        <v>0</v>
      </c>
      <c r="P344" s="19">
        <f ca="1">'1RA SEGURIDAD PUBLICA'!R25</f>
        <v>0</v>
      </c>
      <c r="Q344" s="21">
        <f ca="1">'1RA SEGURIDAD PUBLICA'!S25</f>
        <v>0</v>
      </c>
    </row>
    <row r="345" spans="1:17" ht="39.75" customHeight="1" thickTop="1" thickBot="1">
      <c r="A345" s="53"/>
      <c r="B345" s="53"/>
      <c r="C345" s="7" t="s">
        <v>400</v>
      </c>
      <c r="D345" s="18">
        <f ca="1">'1RA SEGURIDAD PUBLICA'!F26</f>
        <v>125</v>
      </c>
      <c r="E345" s="19">
        <f ca="1">'1RA SEGURIDAD PUBLICA'!G26</f>
        <v>0</v>
      </c>
      <c r="F345" s="19">
        <f ca="1">'1RA SEGURIDAD PUBLICA'!H26</f>
        <v>0</v>
      </c>
      <c r="G345" s="19">
        <f ca="1">'1RA SEGURIDAD PUBLICA'!I26</f>
        <v>0</v>
      </c>
      <c r="H345" s="19">
        <f ca="1">'1RA SEGURIDAD PUBLICA'!J26</f>
        <v>0</v>
      </c>
      <c r="I345" s="19">
        <f ca="1">'1RA SEGURIDAD PUBLICA'!K26</f>
        <v>1</v>
      </c>
      <c r="J345" s="19">
        <f ca="1">'1RA SEGURIDAD PUBLICA'!L26</f>
        <v>0</v>
      </c>
      <c r="K345" s="19">
        <f ca="1">'1RA SEGURIDAD PUBLICA'!M26</f>
        <v>0</v>
      </c>
      <c r="L345" s="19">
        <f ca="1">'1RA SEGURIDAD PUBLICA'!N26</f>
        <v>1</v>
      </c>
      <c r="M345" s="19">
        <f ca="1">'1RA SEGURIDAD PUBLICA'!O26</f>
        <v>0</v>
      </c>
      <c r="N345" s="19">
        <f ca="1">'1RA SEGURIDAD PUBLICA'!P26</f>
        <v>1</v>
      </c>
      <c r="O345" s="19">
        <f ca="1">'1RA SEGURIDAD PUBLICA'!Q26</f>
        <v>2</v>
      </c>
      <c r="P345" s="19">
        <f ca="1">'1RA SEGURIDAD PUBLICA'!R26</f>
        <v>0</v>
      </c>
      <c r="Q345" s="21">
        <f ca="1">'1RA SEGURIDAD PUBLICA'!S26</f>
        <v>5</v>
      </c>
    </row>
    <row r="346" spans="1:17" ht="39.75" customHeight="1" thickTop="1" thickBot="1">
      <c r="A346" s="53"/>
      <c r="B346" s="53"/>
      <c r="C346" s="7" t="s">
        <v>402</v>
      </c>
      <c r="D346" s="18">
        <f ca="1">'1RA SEGURIDAD PUBLICA'!F27</f>
        <v>50</v>
      </c>
      <c r="E346" s="19">
        <f ca="1">'1RA SEGURIDAD PUBLICA'!G27</f>
        <v>0</v>
      </c>
      <c r="F346" s="19">
        <f ca="1">'1RA SEGURIDAD PUBLICA'!H27</f>
        <v>0</v>
      </c>
      <c r="G346" s="19">
        <f ca="1">'1RA SEGURIDAD PUBLICA'!I27</f>
        <v>1</v>
      </c>
      <c r="H346" s="19">
        <f ca="1">'1RA SEGURIDAD PUBLICA'!J27</f>
        <v>1</v>
      </c>
      <c r="I346" s="19">
        <f ca="1">'1RA SEGURIDAD PUBLICA'!K27</f>
        <v>0</v>
      </c>
      <c r="J346" s="19">
        <f ca="1">'1RA SEGURIDAD PUBLICA'!L27</f>
        <v>0</v>
      </c>
      <c r="K346" s="19">
        <f ca="1">'1RA SEGURIDAD PUBLICA'!M27</f>
        <v>0</v>
      </c>
      <c r="L346" s="19">
        <f ca="1">'1RA SEGURIDAD PUBLICA'!N27</f>
        <v>0</v>
      </c>
      <c r="M346" s="19">
        <f ca="1">'1RA SEGURIDAD PUBLICA'!O27</f>
        <v>0</v>
      </c>
      <c r="N346" s="19">
        <f ca="1">'1RA SEGURIDAD PUBLICA'!P27</f>
        <v>0</v>
      </c>
      <c r="O346" s="19">
        <f ca="1">'1RA SEGURIDAD PUBLICA'!Q27</f>
        <v>0</v>
      </c>
      <c r="P346" s="19">
        <f ca="1">'1RA SEGURIDAD PUBLICA'!R27</f>
        <v>0</v>
      </c>
      <c r="Q346" s="21">
        <f ca="1">'1RA SEGURIDAD PUBLICA'!S27</f>
        <v>2</v>
      </c>
    </row>
    <row r="347" spans="1:17" ht="39.75" customHeight="1" thickTop="1" thickBot="1">
      <c r="A347" s="53"/>
      <c r="B347" s="53"/>
      <c r="C347" s="7" t="s">
        <v>404</v>
      </c>
      <c r="D347" s="18">
        <f ca="1">'1RA SEGURIDAD PUBLICA'!F28</f>
        <v>0</v>
      </c>
      <c r="E347" s="19">
        <f ca="1">'1RA SEGURIDAD PUBLICA'!G28</f>
        <v>0</v>
      </c>
      <c r="F347" s="19">
        <f ca="1">'1RA SEGURIDAD PUBLICA'!H28</f>
        <v>0</v>
      </c>
      <c r="G347" s="19">
        <f ca="1">'1RA SEGURIDAD PUBLICA'!I28</f>
        <v>0</v>
      </c>
      <c r="H347" s="19">
        <f ca="1">'1RA SEGURIDAD PUBLICA'!J28</f>
        <v>0</v>
      </c>
      <c r="I347" s="19">
        <f ca="1">'1RA SEGURIDAD PUBLICA'!K28</f>
        <v>0</v>
      </c>
      <c r="J347" s="19">
        <f ca="1">'1RA SEGURIDAD PUBLICA'!L28</f>
        <v>0</v>
      </c>
      <c r="K347" s="19">
        <f ca="1">'1RA SEGURIDAD PUBLICA'!M28</f>
        <v>0</v>
      </c>
      <c r="L347" s="19">
        <f ca="1">'1RA SEGURIDAD PUBLICA'!N28</f>
        <v>0</v>
      </c>
      <c r="M347" s="19">
        <f ca="1">'1RA SEGURIDAD PUBLICA'!O28</f>
        <v>0</v>
      </c>
      <c r="N347" s="19">
        <f ca="1">'1RA SEGURIDAD PUBLICA'!P28</f>
        <v>0</v>
      </c>
      <c r="O347" s="19">
        <f ca="1">'1RA SEGURIDAD PUBLICA'!Q28</f>
        <v>0</v>
      </c>
      <c r="P347" s="19">
        <f ca="1">'1RA SEGURIDAD PUBLICA'!R28</f>
        <v>0</v>
      </c>
      <c r="Q347" s="21">
        <f ca="1">'1RA SEGURIDAD PUBLICA'!S28</f>
        <v>0</v>
      </c>
    </row>
    <row r="348" spans="1:17" ht="39.75" customHeight="1" thickTop="1" thickBot="1">
      <c r="A348" s="53"/>
      <c r="B348" s="53"/>
      <c r="C348" s="7" t="s">
        <v>405</v>
      </c>
      <c r="D348" s="18">
        <f ca="1">'1RA SEGURIDAD PUBLICA'!F29</f>
        <v>100</v>
      </c>
      <c r="E348" s="19">
        <f ca="1">'1RA SEGURIDAD PUBLICA'!G29</f>
        <v>0</v>
      </c>
      <c r="F348" s="19">
        <f ca="1">'1RA SEGURIDAD PUBLICA'!H29</f>
        <v>0</v>
      </c>
      <c r="G348" s="19">
        <f ca="1">'1RA SEGURIDAD PUBLICA'!I29</f>
        <v>0</v>
      </c>
      <c r="H348" s="19">
        <f ca="1">'1RA SEGURIDAD PUBLICA'!J29</f>
        <v>0</v>
      </c>
      <c r="I348" s="19">
        <f ca="1">'1RA SEGURIDAD PUBLICA'!K29</f>
        <v>0</v>
      </c>
      <c r="J348" s="19">
        <f ca="1">'1RA SEGURIDAD PUBLICA'!L29</f>
        <v>0</v>
      </c>
      <c r="K348" s="19">
        <f ca="1">'1RA SEGURIDAD PUBLICA'!M29</f>
        <v>0</v>
      </c>
      <c r="L348" s="19">
        <f ca="1">'1RA SEGURIDAD PUBLICA'!N29</f>
        <v>0</v>
      </c>
      <c r="M348" s="19">
        <f ca="1">'1RA SEGURIDAD PUBLICA'!O29</f>
        <v>0</v>
      </c>
      <c r="N348" s="19">
        <f ca="1">'1RA SEGURIDAD PUBLICA'!P29</f>
        <v>0</v>
      </c>
      <c r="O348" s="19">
        <f ca="1">'1RA SEGURIDAD PUBLICA'!Q29</f>
        <v>1</v>
      </c>
      <c r="P348" s="19">
        <f ca="1">'1RA SEGURIDAD PUBLICA'!R29</f>
        <v>0</v>
      </c>
      <c r="Q348" s="21">
        <f ca="1">'1RA SEGURIDAD PUBLICA'!S29</f>
        <v>1</v>
      </c>
    </row>
    <row r="349" spans="1:17" ht="39.75" customHeight="1" thickTop="1" thickBot="1">
      <c r="A349" s="53"/>
      <c r="B349" s="53"/>
      <c r="C349" s="7" t="s">
        <v>407</v>
      </c>
      <c r="D349" s="18">
        <f ca="1">'1RA SEGURIDAD PUBLICA'!F30</f>
        <v>400</v>
      </c>
      <c r="E349" s="19">
        <f ca="1">'1RA SEGURIDAD PUBLICA'!G30</f>
        <v>0</v>
      </c>
      <c r="F349" s="19">
        <f ca="1">'1RA SEGURIDAD PUBLICA'!H30</f>
        <v>0</v>
      </c>
      <c r="G349" s="19">
        <f ca="1">'1RA SEGURIDAD PUBLICA'!I30</f>
        <v>0</v>
      </c>
      <c r="H349" s="19">
        <f ca="1">'1RA SEGURIDAD PUBLICA'!J30</f>
        <v>0</v>
      </c>
      <c r="I349" s="19">
        <f ca="1">'1RA SEGURIDAD PUBLICA'!K30</f>
        <v>0</v>
      </c>
      <c r="J349" s="19">
        <f ca="1">'1RA SEGURIDAD PUBLICA'!L30</f>
        <v>0</v>
      </c>
      <c r="K349" s="19">
        <f ca="1">'1RA SEGURIDAD PUBLICA'!M30</f>
        <v>2</v>
      </c>
      <c r="L349" s="19">
        <f ca="1">'1RA SEGURIDAD PUBLICA'!N30</f>
        <v>1</v>
      </c>
      <c r="M349" s="19">
        <f ca="1">'1RA SEGURIDAD PUBLICA'!O30</f>
        <v>1</v>
      </c>
      <c r="N349" s="19">
        <f ca="1">'1RA SEGURIDAD PUBLICA'!P30</f>
        <v>0</v>
      </c>
      <c r="O349" s="19">
        <f ca="1">'1RA SEGURIDAD PUBLICA'!Q30</f>
        <v>0</v>
      </c>
      <c r="P349" s="19">
        <f ca="1">'1RA SEGURIDAD PUBLICA'!R30</f>
        <v>0</v>
      </c>
      <c r="Q349" s="21">
        <f ca="1">'1RA SEGURIDAD PUBLICA'!S30</f>
        <v>4</v>
      </c>
    </row>
    <row r="350" spans="1:17" ht="39.75" customHeight="1" thickTop="1" thickBot="1">
      <c r="A350" s="53"/>
      <c r="B350" s="53"/>
      <c r="C350" s="7" t="s">
        <v>409</v>
      </c>
      <c r="D350" s="18">
        <f ca="1">'1RA SEGURIDAD PUBLICA'!F31</f>
        <v>114.99999999999901</v>
      </c>
      <c r="E350" s="19">
        <f ca="1">'1RA SEGURIDAD PUBLICA'!G31</f>
        <v>10</v>
      </c>
      <c r="F350" s="19">
        <f ca="1">'1RA SEGURIDAD PUBLICA'!H31</f>
        <v>4</v>
      </c>
      <c r="G350" s="19">
        <f ca="1">'1RA SEGURIDAD PUBLICA'!I31</f>
        <v>3</v>
      </c>
      <c r="H350" s="19">
        <f ca="1">'1RA SEGURIDAD PUBLICA'!J31</f>
        <v>5</v>
      </c>
      <c r="I350" s="19">
        <f ca="1">'1RA SEGURIDAD PUBLICA'!K31</f>
        <v>9</v>
      </c>
      <c r="J350" s="19">
        <f ca="1">'1RA SEGURIDAD PUBLICA'!L31</f>
        <v>12</v>
      </c>
      <c r="K350" s="19">
        <f ca="1">'1RA SEGURIDAD PUBLICA'!M31</f>
        <v>5</v>
      </c>
      <c r="L350" s="19">
        <f ca="1">'1RA SEGURIDAD PUBLICA'!N31</f>
        <v>8</v>
      </c>
      <c r="M350" s="19">
        <f ca="1">'1RA SEGURIDAD PUBLICA'!O31</f>
        <v>4</v>
      </c>
      <c r="N350" s="19">
        <f ca="1">'1RA SEGURIDAD PUBLICA'!P31</f>
        <v>2</v>
      </c>
      <c r="O350" s="19">
        <f ca="1">'1RA SEGURIDAD PUBLICA'!Q31</f>
        <v>2</v>
      </c>
      <c r="P350" s="19">
        <f ca="1">'1RA SEGURIDAD PUBLICA'!R31</f>
        <v>5</v>
      </c>
      <c r="Q350" s="21">
        <f ca="1">'1RA SEGURIDAD PUBLICA'!S31</f>
        <v>69</v>
      </c>
    </row>
    <row r="351" spans="1:17" ht="39.75" customHeight="1" thickTop="1" thickBot="1">
      <c r="A351" s="53"/>
      <c r="B351" s="53"/>
      <c r="C351" s="7" t="s">
        <v>411</v>
      </c>
      <c r="D351" s="18">
        <f ca="1">'1RA SEGURIDAD PUBLICA'!F32</f>
        <v>220</v>
      </c>
      <c r="E351" s="19">
        <f ca="1">'1RA SEGURIDAD PUBLICA'!G32</f>
        <v>2</v>
      </c>
      <c r="F351" s="19">
        <f ca="1">'1RA SEGURIDAD PUBLICA'!H32</f>
        <v>2</v>
      </c>
      <c r="G351" s="19">
        <f ca="1">'1RA SEGURIDAD PUBLICA'!I32</f>
        <v>0</v>
      </c>
      <c r="H351" s="19">
        <f ca="1">'1RA SEGURIDAD PUBLICA'!J32</f>
        <v>2</v>
      </c>
      <c r="I351" s="19">
        <f ca="1">'1RA SEGURIDAD PUBLICA'!K32</f>
        <v>2</v>
      </c>
      <c r="J351" s="19">
        <f ca="1">'1RA SEGURIDAD PUBLICA'!L32</f>
        <v>0</v>
      </c>
      <c r="K351" s="19">
        <f ca="1">'1RA SEGURIDAD PUBLICA'!M32</f>
        <v>0</v>
      </c>
      <c r="L351" s="19">
        <f ca="1">'1RA SEGURIDAD PUBLICA'!N32</f>
        <v>0</v>
      </c>
      <c r="M351" s="19">
        <f ca="1">'1RA SEGURIDAD PUBLICA'!O32</f>
        <v>2</v>
      </c>
      <c r="N351" s="19">
        <f ca="1">'1RA SEGURIDAD PUBLICA'!P32</f>
        <v>0</v>
      </c>
      <c r="O351" s="19">
        <f ca="1">'1RA SEGURIDAD PUBLICA'!Q32</f>
        <v>1</v>
      </c>
      <c r="P351" s="19">
        <f ca="1">'1RA SEGURIDAD PUBLICA'!R32</f>
        <v>0</v>
      </c>
      <c r="Q351" s="21">
        <f ca="1">'1RA SEGURIDAD PUBLICA'!S32</f>
        <v>11</v>
      </c>
    </row>
    <row r="352" spans="1:17" ht="39.75" customHeight="1" thickTop="1" thickBot="1">
      <c r="A352" s="53"/>
      <c r="B352" s="53"/>
      <c r="C352" s="7" t="s">
        <v>413</v>
      </c>
      <c r="D352" s="18">
        <f ca="1">'1RA SEGURIDAD PUBLICA'!F33</f>
        <v>360</v>
      </c>
      <c r="E352" s="19">
        <f ca="1">'1RA SEGURIDAD PUBLICA'!G33</f>
        <v>6</v>
      </c>
      <c r="F352" s="19">
        <f ca="1">'1RA SEGURIDAD PUBLICA'!H33</f>
        <v>5</v>
      </c>
      <c r="G352" s="19">
        <f ca="1">'1RA SEGURIDAD PUBLICA'!I33</f>
        <v>7</v>
      </c>
      <c r="H352" s="19">
        <f ca="1">'1RA SEGURIDAD PUBLICA'!J33</f>
        <v>0</v>
      </c>
      <c r="I352" s="19">
        <f ca="1">'1RA SEGURIDAD PUBLICA'!K33</f>
        <v>0</v>
      </c>
      <c r="J352" s="19">
        <f ca="1">'1RA SEGURIDAD PUBLICA'!L33</f>
        <v>0</v>
      </c>
      <c r="K352" s="19">
        <f ca="1">'1RA SEGURIDAD PUBLICA'!M33</f>
        <v>1</v>
      </c>
      <c r="L352" s="19">
        <f ca="1">'1RA SEGURIDAD PUBLICA'!N33</f>
        <v>2</v>
      </c>
      <c r="M352" s="19">
        <f ca="1">'1RA SEGURIDAD PUBLICA'!O33</f>
        <v>1</v>
      </c>
      <c r="N352" s="19">
        <f ca="1">'1RA SEGURIDAD PUBLICA'!P33</f>
        <v>6</v>
      </c>
      <c r="O352" s="19">
        <f ca="1">'1RA SEGURIDAD PUBLICA'!Q33</f>
        <v>4</v>
      </c>
      <c r="P352" s="19">
        <f ca="1">'1RA SEGURIDAD PUBLICA'!R33</f>
        <v>4</v>
      </c>
      <c r="Q352" s="21">
        <f ca="1">'1RA SEGURIDAD PUBLICA'!S33</f>
        <v>36</v>
      </c>
    </row>
    <row r="353" spans="1:17" ht="39.75" customHeight="1" thickTop="1" thickBot="1">
      <c r="A353" s="53"/>
      <c r="B353" s="53"/>
      <c r="C353" s="7" t="s">
        <v>414</v>
      </c>
      <c r="D353" s="18">
        <f ca="1">'1RA SEGURIDAD PUBLICA'!F34</f>
        <v>73.3333333333333</v>
      </c>
      <c r="E353" s="19">
        <f ca="1">'1RA SEGURIDAD PUBLICA'!G34</f>
        <v>17</v>
      </c>
      <c r="F353" s="19">
        <f ca="1">'1RA SEGURIDAD PUBLICA'!H34</f>
        <v>5</v>
      </c>
      <c r="G353" s="19">
        <f ca="1">'1RA SEGURIDAD PUBLICA'!I34</f>
        <v>23</v>
      </c>
      <c r="H353" s="19">
        <f ca="1">'1RA SEGURIDAD PUBLICA'!J34</f>
        <v>7</v>
      </c>
      <c r="I353" s="19">
        <f ca="1">'1RA SEGURIDAD PUBLICA'!K34</f>
        <v>20</v>
      </c>
      <c r="J353" s="19">
        <f ca="1">'1RA SEGURIDAD PUBLICA'!L34</f>
        <v>25</v>
      </c>
      <c r="K353" s="19">
        <f ca="1">'1RA SEGURIDAD PUBLICA'!M34</f>
        <v>18</v>
      </c>
      <c r="L353" s="19">
        <f ca="1">'1RA SEGURIDAD PUBLICA'!N34</f>
        <v>22</v>
      </c>
      <c r="M353" s="19">
        <f ca="1">'1RA SEGURIDAD PUBLICA'!O34</f>
        <v>28</v>
      </c>
      <c r="N353" s="19">
        <f ca="1">'1RA SEGURIDAD PUBLICA'!P34</f>
        <v>24</v>
      </c>
      <c r="O353" s="19">
        <f ca="1">'1RA SEGURIDAD PUBLICA'!Q34</f>
        <v>17</v>
      </c>
      <c r="P353" s="19">
        <f ca="1">'1RA SEGURIDAD PUBLICA'!R34</f>
        <v>14</v>
      </c>
      <c r="Q353" s="21">
        <f ca="1">'1RA SEGURIDAD PUBLICA'!S34</f>
        <v>220</v>
      </c>
    </row>
    <row r="354" spans="1:17" ht="39.75" customHeight="1" thickTop="1" thickBot="1">
      <c r="A354" s="53"/>
      <c r="B354" s="51"/>
      <c r="C354" s="7" t="s">
        <v>416</v>
      </c>
      <c r="D354" s="18">
        <f ca="1">'1RA SEGURIDAD PUBLICA'!F35</f>
        <v>0</v>
      </c>
      <c r="E354" s="19">
        <f ca="1">'1RA SEGURIDAD PUBLICA'!G35</f>
        <v>0</v>
      </c>
      <c r="F354" s="19">
        <f ca="1">'1RA SEGURIDAD PUBLICA'!H35</f>
        <v>0</v>
      </c>
      <c r="G354" s="19">
        <f ca="1">'1RA SEGURIDAD PUBLICA'!I35</f>
        <v>0</v>
      </c>
      <c r="H354" s="19">
        <f ca="1">'1RA SEGURIDAD PUBLICA'!J35</f>
        <v>0</v>
      </c>
      <c r="I354" s="19">
        <f ca="1">'1RA SEGURIDAD PUBLICA'!K35</f>
        <v>0</v>
      </c>
      <c r="J354" s="19">
        <f ca="1">'1RA SEGURIDAD PUBLICA'!L35</f>
        <v>0</v>
      </c>
      <c r="K354" s="19">
        <f ca="1">'1RA SEGURIDAD PUBLICA'!M35</f>
        <v>0</v>
      </c>
      <c r="L354" s="19">
        <f ca="1">'1RA SEGURIDAD PUBLICA'!N35</f>
        <v>0</v>
      </c>
      <c r="M354" s="19">
        <f ca="1">'1RA SEGURIDAD PUBLICA'!O35</f>
        <v>0</v>
      </c>
      <c r="N354" s="19">
        <f ca="1">'1RA SEGURIDAD PUBLICA'!P35</f>
        <v>0</v>
      </c>
      <c r="O354" s="19">
        <f ca="1">'1RA SEGURIDAD PUBLICA'!Q35</f>
        <v>0</v>
      </c>
      <c r="P354" s="19">
        <f ca="1">'1RA SEGURIDAD PUBLICA'!R35</f>
        <v>0</v>
      </c>
      <c r="Q354" s="21">
        <f ca="1">'1RA SEGURIDAD PUBLICA'!S35</f>
        <v>0</v>
      </c>
    </row>
    <row r="355" spans="1:17" ht="39.75" customHeight="1" thickTop="1" thickBot="1">
      <c r="A355" s="53"/>
      <c r="B355" s="55" t="s">
        <v>417</v>
      </c>
      <c r="C355" s="7" t="s">
        <v>418</v>
      </c>
      <c r="D355" s="18">
        <f ca="1">'1RA SEGURIDAD PUBLICA'!F36</f>
        <v>94.474999999999994</v>
      </c>
      <c r="E355" s="19">
        <f ca="1">'1RA SEGURIDAD PUBLICA'!G36</f>
        <v>209</v>
      </c>
      <c r="F355" s="19">
        <f ca="1">'1RA SEGURIDAD PUBLICA'!H36</f>
        <v>214</v>
      </c>
      <c r="G355" s="19">
        <f ca="1">'1RA SEGURIDAD PUBLICA'!I36</f>
        <v>114</v>
      </c>
      <c r="H355" s="19">
        <f ca="1">'1RA SEGURIDAD PUBLICA'!J36</f>
        <v>378</v>
      </c>
      <c r="I355" s="19">
        <f ca="1">'1RA SEGURIDAD PUBLICA'!K36</f>
        <v>363</v>
      </c>
      <c r="J355" s="19">
        <f ca="1">'1RA SEGURIDAD PUBLICA'!L36</f>
        <v>375</v>
      </c>
      <c r="K355" s="19">
        <f ca="1">'1RA SEGURIDAD PUBLICA'!M36</f>
        <v>425</v>
      </c>
      <c r="L355" s="19">
        <f ca="1">'1RA SEGURIDAD PUBLICA'!N36</f>
        <v>347</v>
      </c>
      <c r="M355" s="19">
        <f ca="1">'1RA SEGURIDAD PUBLICA'!O36</f>
        <v>346</v>
      </c>
      <c r="N355" s="19">
        <f ca="1">'1RA SEGURIDAD PUBLICA'!P36</f>
        <v>379</v>
      </c>
      <c r="O355" s="19">
        <f ca="1">'1RA SEGURIDAD PUBLICA'!Q36</f>
        <v>380</v>
      </c>
      <c r="P355" s="19">
        <f ca="1">'1RA SEGURIDAD PUBLICA'!R36</f>
        <v>249</v>
      </c>
      <c r="Q355" s="21">
        <f ca="1">'1RA SEGURIDAD PUBLICA'!S36</f>
        <v>3779</v>
      </c>
    </row>
    <row r="356" spans="1:17" ht="39.75" customHeight="1" thickTop="1" thickBot="1">
      <c r="A356" s="53"/>
      <c r="B356" s="53"/>
      <c r="C356" s="7" t="s">
        <v>420</v>
      </c>
      <c r="D356" s="18">
        <f ca="1">'1RA SEGURIDAD PUBLICA'!F37</f>
        <v>109.222222222222</v>
      </c>
      <c r="E356" s="19">
        <f ca="1">'1RA SEGURIDAD PUBLICA'!G37</f>
        <v>87</v>
      </c>
      <c r="F356" s="19">
        <f ca="1">'1RA SEGURIDAD PUBLICA'!H37</f>
        <v>95</v>
      </c>
      <c r="G356" s="19">
        <f ca="1">'1RA SEGURIDAD PUBLICA'!I37</f>
        <v>33</v>
      </c>
      <c r="H356" s="19">
        <f ca="1">'1RA SEGURIDAD PUBLICA'!J37</f>
        <v>160</v>
      </c>
      <c r="I356" s="19">
        <f ca="1">'1RA SEGURIDAD PUBLICA'!K37</f>
        <v>177</v>
      </c>
      <c r="J356" s="19">
        <f ca="1">'1RA SEGURIDAD PUBLICA'!L37</f>
        <v>195</v>
      </c>
      <c r="K356" s="19">
        <f ca="1">'1RA SEGURIDAD PUBLICA'!M37</f>
        <v>162</v>
      </c>
      <c r="L356" s="19">
        <f ca="1">'1RA SEGURIDAD PUBLICA'!N37</f>
        <v>168</v>
      </c>
      <c r="M356" s="19">
        <f ca="1">'1RA SEGURIDAD PUBLICA'!O37</f>
        <v>308</v>
      </c>
      <c r="N356" s="19">
        <f ca="1">'1RA SEGURIDAD PUBLICA'!P37</f>
        <v>188</v>
      </c>
      <c r="O356" s="19">
        <f ca="1">'1RA SEGURIDAD PUBLICA'!Q37</f>
        <v>200</v>
      </c>
      <c r="P356" s="19">
        <f ca="1">'1RA SEGURIDAD PUBLICA'!R37</f>
        <v>193</v>
      </c>
      <c r="Q356" s="21">
        <f ca="1">'1RA SEGURIDAD PUBLICA'!S37</f>
        <v>1966</v>
      </c>
    </row>
    <row r="357" spans="1:17" ht="39.75" customHeight="1" thickTop="1" thickBot="1">
      <c r="A357" s="53"/>
      <c r="B357" s="53"/>
      <c r="C357" s="7" t="s">
        <v>422</v>
      </c>
      <c r="D357" s="18">
        <f ca="1">'1RA SEGURIDAD PUBLICA'!F38</f>
        <v>136</v>
      </c>
      <c r="E357" s="19">
        <f ca="1">'1RA SEGURIDAD PUBLICA'!G38</f>
        <v>0</v>
      </c>
      <c r="F357" s="19">
        <f ca="1">'1RA SEGURIDAD PUBLICA'!H38</f>
        <v>0</v>
      </c>
      <c r="G357" s="19">
        <f ca="1">'1RA SEGURIDAD PUBLICA'!I38</f>
        <v>1</v>
      </c>
      <c r="H357" s="19">
        <f ca="1">'1RA SEGURIDAD PUBLICA'!J38</f>
        <v>2</v>
      </c>
      <c r="I357" s="19">
        <f ca="1">'1RA SEGURIDAD PUBLICA'!K38</f>
        <v>14</v>
      </c>
      <c r="J357" s="19">
        <f ca="1">'1RA SEGURIDAD PUBLICA'!L38</f>
        <v>20</v>
      </c>
      <c r="K357" s="19">
        <f ca="1">'1RA SEGURIDAD PUBLICA'!M38</f>
        <v>21</v>
      </c>
      <c r="L357" s="19">
        <f ca="1">'1RA SEGURIDAD PUBLICA'!N38</f>
        <v>16</v>
      </c>
      <c r="M357" s="19">
        <f ca="1">'1RA SEGURIDAD PUBLICA'!O38</f>
        <v>9</v>
      </c>
      <c r="N357" s="19">
        <f ca="1">'1RA SEGURIDAD PUBLICA'!P38</f>
        <v>18</v>
      </c>
      <c r="O357" s="19">
        <f ca="1">'1RA SEGURIDAD PUBLICA'!Q38</f>
        <v>21</v>
      </c>
      <c r="P357" s="19">
        <f ca="1">'1RA SEGURIDAD PUBLICA'!R38</f>
        <v>14</v>
      </c>
      <c r="Q357" s="21">
        <f ca="1">'1RA SEGURIDAD PUBLICA'!S38</f>
        <v>136</v>
      </c>
    </row>
    <row r="358" spans="1:17" ht="39.75" customHeight="1" thickTop="1" thickBot="1">
      <c r="A358" s="51"/>
      <c r="B358" s="51"/>
      <c r="C358" s="7" t="s">
        <v>424</v>
      </c>
      <c r="D358" s="18">
        <f ca="1">'1RA SEGURIDAD PUBLICA'!F39</f>
        <v>305</v>
      </c>
      <c r="E358" s="19">
        <f ca="1">'1RA SEGURIDAD PUBLICA'!G39</f>
        <v>0</v>
      </c>
      <c r="F358" s="19">
        <f ca="1">'1RA SEGURIDAD PUBLICA'!H39</f>
        <v>0</v>
      </c>
      <c r="G358" s="19">
        <f ca="1">'1RA SEGURIDAD PUBLICA'!I39</f>
        <v>0</v>
      </c>
      <c r="H358" s="19">
        <f ca="1">'1RA SEGURIDAD PUBLICA'!J39</f>
        <v>2</v>
      </c>
      <c r="I358" s="19">
        <f ca="1">'1RA SEGURIDAD PUBLICA'!K39</f>
        <v>4</v>
      </c>
      <c r="J358" s="19">
        <f ca="1">'1RA SEGURIDAD PUBLICA'!L39</f>
        <v>24</v>
      </c>
      <c r="K358" s="19">
        <f ca="1">'1RA SEGURIDAD PUBLICA'!M39</f>
        <v>3</v>
      </c>
      <c r="L358" s="19">
        <f ca="1">'1RA SEGURIDAD PUBLICA'!N39</f>
        <v>5</v>
      </c>
      <c r="M358" s="19">
        <f ca="1">'1RA SEGURIDAD PUBLICA'!O39</f>
        <v>8</v>
      </c>
      <c r="N358" s="19">
        <f ca="1">'1RA SEGURIDAD PUBLICA'!P39</f>
        <v>1</v>
      </c>
      <c r="O358" s="19">
        <f ca="1">'1RA SEGURIDAD PUBLICA'!Q39</f>
        <v>6</v>
      </c>
      <c r="P358" s="19">
        <f ca="1">'1RA SEGURIDAD PUBLICA'!R39</f>
        <v>8</v>
      </c>
      <c r="Q358" s="21">
        <f ca="1">'1RA SEGURIDAD PUBLICA'!S39</f>
        <v>61</v>
      </c>
    </row>
    <row r="359" spans="1:17" ht="39.75" customHeight="1" thickTop="1" thickBot="1">
      <c r="A359" s="52" t="s">
        <v>426</v>
      </c>
      <c r="B359" s="52" t="s">
        <v>427</v>
      </c>
      <c r="C359" s="12" t="s">
        <v>428</v>
      </c>
      <c r="D359" s="18">
        <f ca="1">'1RA GESTION DE LA CIUDAD'!F2</f>
        <v>100.627802690582</v>
      </c>
      <c r="E359" s="19">
        <f ca="1">'1RA GESTION DE LA CIUDAD'!G2</f>
        <v>0</v>
      </c>
      <c r="F359" s="19">
        <f ca="1">'1RA GESTION DE LA CIUDAD'!H2</f>
        <v>0</v>
      </c>
      <c r="G359" s="19">
        <f ca="1">'1RA GESTION DE LA CIUDAD'!I2</f>
        <v>0</v>
      </c>
      <c r="H359" s="19">
        <f ca="1">'1RA GESTION DE LA CIUDAD'!J2</f>
        <v>2400</v>
      </c>
      <c r="I359" s="19">
        <f ca="1">'1RA GESTION DE LA CIUDAD'!K2</f>
        <v>2400</v>
      </c>
      <c r="J359" s="19">
        <f ca="1">'1RA GESTION DE LA CIUDAD'!L2</f>
        <v>2400</v>
      </c>
      <c r="K359" s="19">
        <f ca="1">'1RA GESTION DE LA CIUDAD'!M2</f>
        <v>2680</v>
      </c>
      <c r="L359" s="19">
        <f ca="1">'1RA GESTION DE LA CIUDAD'!N2</f>
        <v>2680</v>
      </c>
      <c r="M359" s="19">
        <f ca="1">'1RA GESTION DE LA CIUDAD'!O2</f>
        <v>2680</v>
      </c>
      <c r="N359" s="19">
        <f ca="1">'1RA GESTION DE LA CIUDAD'!P2</f>
        <v>2400</v>
      </c>
      <c r="O359" s="19">
        <f ca="1">'1RA GESTION DE LA CIUDAD'!Q2</f>
        <v>2400</v>
      </c>
      <c r="P359" s="19">
        <f ca="1">'1RA GESTION DE LA CIUDAD'!R2</f>
        <v>2400</v>
      </c>
      <c r="Q359" s="21">
        <f ca="1">'1RA GESTION DE LA CIUDAD'!S2</f>
        <v>22440</v>
      </c>
    </row>
    <row r="360" spans="1:17" ht="39.75" customHeight="1" thickTop="1" thickBot="1">
      <c r="A360" s="53"/>
      <c r="B360" s="53"/>
      <c r="C360" s="12" t="s">
        <v>430</v>
      </c>
      <c r="D360" s="18">
        <f ca="1">'1RA GESTION DE LA CIUDAD'!F3</f>
        <v>102.341269841269</v>
      </c>
      <c r="E360" s="19">
        <f ca="1">'1RA GESTION DE LA CIUDAD'!G3</f>
        <v>0</v>
      </c>
      <c r="F360" s="19">
        <f ca="1">'1RA GESTION DE LA CIUDAD'!H3</f>
        <v>0</v>
      </c>
      <c r="G360" s="19">
        <f ca="1">'1RA GESTION DE LA CIUDAD'!I3</f>
        <v>0</v>
      </c>
      <c r="H360" s="19">
        <f ca="1">'1RA GESTION DE LA CIUDAD'!J3</f>
        <v>319</v>
      </c>
      <c r="I360" s="19">
        <f ca="1">'1RA GESTION DE LA CIUDAD'!K3</f>
        <v>354</v>
      </c>
      <c r="J360" s="19">
        <f ca="1">'1RA GESTION DE LA CIUDAD'!L3</f>
        <v>0</v>
      </c>
      <c r="K360" s="19">
        <f ca="1">'1RA GESTION DE LA CIUDAD'!M3</f>
        <v>295</v>
      </c>
      <c r="L360" s="19">
        <f ca="1">'1RA GESTION DE LA CIUDAD'!N3</f>
        <v>246</v>
      </c>
      <c r="M360" s="19">
        <f ca="1">'1RA GESTION DE LA CIUDAD'!O3</f>
        <v>337</v>
      </c>
      <c r="N360" s="19">
        <f ca="1">'1RA GESTION DE LA CIUDAD'!P3</f>
        <v>310</v>
      </c>
      <c r="O360" s="19">
        <f ca="1">'1RA GESTION DE LA CIUDAD'!Q3</f>
        <v>330</v>
      </c>
      <c r="P360" s="19">
        <f ca="1">'1RA GESTION DE LA CIUDAD'!R3</f>
        <v>388</v>
      </c>
      <c r="Q360" s="21">
        <f ca="1">'1RA GESTION DE LA CIUDAD'!S3</f>
        <v>2579</v>
      </c>
    </row>
    <row r="361" spans="1:17" ht="39.75" customHeight="1" thickTop="1" thickBot="1">
      <c r="A361" s="53"/>
      <c r="B361" s="51"/>
      <c r="C361" s="12" t="s">
        <v>432</v>
      </c>
      <c r="D361" s="18">
        <f ca="1">'1RA GESTION DE LA CIUDAD'!F4</f>
        <v>122.03389830508399</v>
      </c>
      <c r="E361" s="19">
        <f ca="1">'1RA GESTION DE LA CIUDAD'!G4</f>
        <v>0</v>
      </c>
      <c r="F361" s="19">
        <f ca="1">'1RA GESTION DE LA CIUDAD'!H4</f>
        <v>0</v>
      </c>
      <c r="G361" s="19">
        <f ca="1">'1RA GESTION DE LA CIUDAD'!I4</f>
        <v>0</v>
      </c>
      <c r="H361" s="19">
        <f ca="1">'1RA GESTION DE LA CIUDAD'!J4</f>
        <v>9</v>
      </c>
      <c r="I361" s="19">
        <f ca="1">'1RA GESTION DE LA CIUDAD'!K4</f>
        <v>9</v>
      </c>
      <c r="J361" s="19">
        <f ca="1">'1RA GESTION DE LA CIUDAD'!L4</f>
        <v>0</v>
      </c>
      <c r="K361" s="19">
        <f ca="1">'1RA GESTION DE LA CIUDAD'!M4</f>
        <v>10</v>
      </c>
      <c r="L361" s="19">
        <f ca="1">'1RA GESTION DE LA CIUDAD'!N4</f>
        <v>10</v>
      </c>
      <c r="M361" s="19">
        <f ca="1">'1RA GESTION DE LA CIUDAD'!O4</f>
        <v>10</v>
      </c>
      <c r="N361" s="19">
        <f ca="1">'1RA GESTION DE LA CIUDAD'!P4</f>
        <v>8</v>
      </c>
      <c r="O361" s="19">
        <f ca="1">'1RA GESTION DE LA CIUDAD'!Q4</f>
        <v>8</v>
      </c>
      <c r="P361" s="19">
        <f ca="1">'1RA GESTION DE LA CIUDAD'!R4</f>
        <v>8</v>
      </c>
      <c r="Q361" s="21">
        <f ca="1">'1RA GESTION DE LA CIUDAD'!S4</f>
        <v>72</v>
      </c>
    </row>
    <row r="362" spans="1:17" ht="39.75" customHeight="1" thickTop="1" thickBot="1">
      <c r="A362" s="53"/>
      <c r="B362" s="52" t="s">
        <v>434</v>
      </c>
      <c r="C362" s="12" t="s">
        <v>435</v>
      </c>
      <c r="D362" s="18">
        <f ca="1">'1RA GESTION DE LA CIUDAD'!F5</f>
        <v>119</v>
      </c>
      <c r="E362" s="19">
        <f ca="1">'1RA GESTION DE LA CIUDAD'!G5</f>
        <v>0</v>
      </c>
      <c r="F362" s="19">
        <f ca="1">'1RA GESTION DE LA CIUDAD'!H5</f>
        <v>0</v>
      </c>
      <c r="G362" s="19">
        <f ca="1">'1RA GESTION DE LA CIUDAD'!I5</f>
        <v>0</v>
      </c>
      <c r="H362" s="19">
        <f ca="1">'1RA GESTION DE LA CIUDAD'!J5</f>
        <v>9</v>
      </c>
      <c r="I362" s="19">
        <f ca="1">'1RA GESTION DE LA CIUDAD'!K5</f>
        <v>9</v>
      </c>
      <c r="J362" s="19">
        <f ca="1">'1RA GESTION DE LA CIUDAD'!L5</f>
        <v>6</v>
      </c>
      <c r="K362" s="19">
        <f ca="1">'1RA GESTION DE LA CIUDAD'!M5</f>
        <v>8</v>
      </c>
      <c r="L362" s="19">
        <f ca="1">'1RA GESTION DE LA CIUDAD'!N5</f>
        <v>5</v>
      </c>
      <c r="M362" s="19">
        <f ca="1">'1RA GESTION DE LA CIUDAD'!O5</f>
        <v>27</v>
      </c>
      <c r="N362" s="19">
        <f ca="1">'1RA GESTION DE LA CIUDAD'!P5</f>
        <v>19</v>
      </c>
      <c r="O362" s="19">
        <f ca="1">'1RA GESTION DE LA CIUDAD'!Q5</f>
        <v>36</v>
      </c>
      <c r="P362" s="19">
        <f ca="1">'1RA GESTION DE LA CIUDAD'!R5</f>
        <v>0</v>
      </c>
      <c r="Q362" s="21">
        <f ca="1">'1RA GESTION DE LA CIUDAD'!S5</f>
        <v>119</v>
      </c>
    </row>
    <row r="363" spans="1:17" ht="39.75" customHeight="1" thickTop="1" thickBot="1">
      <c r="A363" s="53"/>
      <c r="B363" s="53"/>
      <c r="C363" s="12" t="s">
        <v>436</v>
      </c>
      <c r="D363" s="18">
        <f ca="1">'1RA GESTION DE LA CIUDAD'!F6</f>
        <v>107.142857142857</v>
      </c>
      <c r="E363" s="19">
        <f ca="1">'1RA GESTION DE LA CIUDAD'!G6</f>
        <v>0</v>
      </c>
      <c r="F363" s="19">
        <f ca="1">'1RA GESTION DE LA CIUDAD'!H6</f>
        <v>0</v>
      </c>
      <c r="G363" s="19">
        <f ca="1">'1RA GESTION DE LA CIUDAD'!I6</f>
        <v>0</v>
      </c>
      <c r="H363" s="19">
        <f ca="1">'1RA GESTION DE LA CIUDAD'!J6</f>
        <v>6</v>
      </c>
      <c r="I363" s="19">
        <f ca="1">'1RA GESTION DE LA CIUDAD'!K6</f>
        <v>0</v>
      </c>
      <c r="J363" s="19">
        <f ca="1">'1RA GESTION DE LA CIUDAD'!L6</f>
        <v>0</v>
      </c>
      <c r="K363" s="19">
        <f ca="1">'1RA GESTION DE LA CIUDAD'!M6</f>
        <v>33</v>
      </c>
      <c r="L363" s="19">
        <f ca="1">'1RA GESTION DE LA CIUDAD'!N6</f>
        <v>7</v>
      </c>
      <c r="M363" s="19">
        <f ca="1">'1RA GESTION DE LA CIUDAD'!O6</f>
        <v>6</v>
      </c>
      <c r="N363" s="19">
        <f ca="1">'1RA GESTION DE LA CIUDAD'!P6</f>
        <v>9</v>
      </c>
      <c r="O363" s="19">
        <f ca="1">'1RA GESTION DE LA CIUDAD'!Q6</f>
        <v>14</v>
      </c>
      <c r="P363" s="19">
        <f ca="1">'1RA GESTION DE LA CIUDAD'!R6</f>
        <v>0</v>
      </c>
      <c r="Q363" s="21">
        <f ca="1">'1RA GESTION DE LA CIUDAD'!S6</f>
        <v>75</v>
      </c>
    </row>
    <row r="364" spans="1:17" ht="39.75" customHeight="1" thickTop="1" thickBot="1">
      <c r="A364" s="53"/>
      <c r="B364" s="51"/>
      <c r="C364" s="12" t="s">
        <v>437</v>
      </c>
      <c r="D364" s="18">
        <f ca="1">'1RA GESTION DE LA CIUDAD'!F7</f>
        <v>99.346405228758101</v>
      </c>
      <c r="E364" s="19">
        <f ca="1">'1RA GESTION DE LA CIUDAD'!G7</f>
        <v>0</v>
      </c>
      <c r="F364" s="19">
        <f ca="1">'1RA GESTION DE LA CIUDAD'!H7</f>
        <v>0</v>
      </c>
      <c r="G364" s="19">
        <f ca="1">'1RA GESTION DE LA CIUDAD'!I7</f>
        <v>0</v>
      </c>
      <c r="H364" s="19">
        <f ca="1">'1RA GESTION DE LA CIUDAD'!J7</f>
        <v>10</v>
      </c>
      <c r="I364" s="19">
        <f ca="1">'1RA GESTION DE LA CIUDAD'!K7</f>
        <v>21</v>
      </c>
      <c r="J364" s="19">
        <f ca="1">'1RA GESTION DE LA CIUDAD'!L7</f>
        <v>12</v>
      </c>
      <c r="K364" s="19">
        <f ca="1">'1RA GESTION DE LA CIUDAD'!M7</f>
        <v>16</v>
      </c>
      <c r="L364" s="19">
        <f ca="1">'1RA GESTION DE LA CIUDAD'!N7</f>
        <v>15</v>
      </c>
      <c r="M364" s="19">
        <f ca="1">'1RA GESTION DE LA CIUDAD'!O7</f>
        <v>12</v>
      </c>
      <c r="N364" s="19">
        <f ca="1">'1RA GESTION DE LA CIUDAD'!P7</f>
        <v>57</v>
      </c>
      <c r="O364" s="19">
        <f ca="1">'1RA GESTION DE LA CIUDAD'!Q7</f>
        <v>9</v>
      </c>
      <c r="P364" s="19">
        <f ca="1">'1RA GESTION DE LA CIUDAD'!R7</f>
        <v>0</v>
      </c>
      <c r="Q364" s="21">
        <f ca="1">'1RA GESTION DE LA CIUDAD'!S7</f>
        <v>152</v>
      </c>
    </row>
    <row r="365" spans="1:17" ht="39.75" customHeight="1" thickTop="1" thickBot="1">
      <c r="A365" s="53"/>
      <c r="B365" s="52" t="s">
        <v>439</v>
      </c>
      <c r="C365" s="12" t="s">
        <v>440</v>
      </c>
      <c r="D365" s="18">
        <f ca="1">'1RA GESTION DE LA CIUDAD'!F8</f>
        <v>92.857142857142804</v>
      </c>
      <c r="E365" s="19">
        <f ca="1">'1RA GESTION DE LA CIUDAD'!G8</f>
        <v>21</v>
      </c>
      <c r="F365" s="19">
        <f ca="1">'1RA GESTION DE LA CIUDAD'!H8</f>
        <v>30</v>
      </c>
      <c r="G365" s="19">
        <f ca="1">'1RA GESTION DE LA CIUDAD'!I8</f>
        <v>18</v>
      </c>
      <c r="H365" s="19">
        <f ca="1">'1RA GESTION DE LA CIUDAD'!J8</f>
        <v>52</v>
      </c>
      <c r="I365" s="19">
        <f ca="1">'1RA GESTION DE LA CIUDAD'!K8</f>
        <v>37</v>
      </c>
      <c r="J365" s="19">
        <f ca="1">'1RA GESTION DE LA CIUDAD'!L8</f>
        <v>37</v>
      </c>
      <c r="K365" s="19">
        <f ca="1">'1RA GESTION DE LA CIUDAD'!M8</f>
        <v>0</v>
      </c>
      <c r="L365" s="19">
        <f ca="1">'1RA GESTION DE LA CIUDAD'!N8</f>
        <v>0</v>
      </c>
      <c r="M365" s="19">
        <f ca="1">'1RA GESTION DE LA CIUDAD'!O8</f>
        <v>0</v>
      </c>
      <c r="N365" s="19">
        <f ca="1">'1RA GESTION DE LA CIUDAD'!P8</f>
        <v>0</v>
      </c>
      <c r="O365" s="19">
        <f ca="1">'1RA GESTION DE LA CIUDAD'!Q8</f>
        <v>0</v>
      </c>
      <c r="P365" s="19">
        <f ca="1">'1RA GESTION DE LA CIUDAD'!R8</f>
        <v>0</v>
      </c>
      <c r="Q365" s="21">
        <f ca="1">'1RA GESTION DE LA CIUDAD'!S8</f>
        <v>195</v>
      </c>
    </row>
    <row r="366" spans="1:17" ht="39.75" customHeight="1" thickTop="1" thickBot="1">
      <c r="A366" s="53"/>
      <c r="B366" s="53"/>
      <c r="C366" s="12" t="s">
        <v>441</v>
      </c>
      <c r="D366" s="18">
        <f ca="1">'1RA GESTION DE LA CIUDAD'!F9</f>
        <v>85.172413793103402</v>
      </c>
      <c r="E366" s="19">
        <f ca="1">'1RA GESTION DE LA CIUDAD'!G9</f>
        <v>2</v>
      </c>
      <c r="F366" s="19">
        <f ca="1">'1RA GESTION DE LA CIUDAD'!H9</f>
        <v>2</v>
      </c>
      <c r="G366" s="19">
        <f ca="1">'1RA GESTION DE LA CIUDAD'!I9</f>
        <v>1</v>
      </c>
      <c r="H366" s="19">
        <f ca="1">'1RA GESTION DE LA CIUDAD'!J9</f>
        <v>47</v>
      </c>
      <c r="I366" s="19">
        <f ca="1">'1RA GESTION DE LA CIUDAD'!K9</f>
        <v>40</v>
      </c>
      <c r="J366" s="19">
        <f ca="1">'1RA GESTION DE LA CIUDAD'!L9</f>
        <v>35</v>
      </c>
      <c r="K366" s="19">
        <f ca="1">'1RA GESTION DE LA CIUDAD'!M9</f>
        <v>48</v>
      </c>
      <c r="L366" s="19">
        <f ca="1">'1RA GESTION DE LA CIUDAD'!N9</f>
        <v>32</v>
      </c>
      <c r="M366" s="19">
        <f ca="1">'1RA GESTION DE LA CIUDAD'!O9</f>
        <v>40</v>
      </c>
      <c r="N366" s="19">
        <f ca="1">'1RA GESTION DE LA CIUDAD'!P9</f>
        <v>0</v>
      </c>
      <c r="O366" s="19">
        <f ca="1">'1RA GESTION DE LA CIUDAD'!Q9</f>
        <v>0</v>
      </c>
      <c r="P366" s="19">
        <f ca="1">'1RA GESTION DE LA CIUDAD'!R9</f>
        <v>0</v>
      </c>
      <c r="Q366" s="21">
        <f ca="1">'1RA GESTION DE LA CIUDAD'!S9</f>
        <v>247</v>
      </c>
    </row>
    <row r="367" spans="1:17" ht="39.75" customHeight="1" thickTop="1" thickBot="1">
      <c r="A367" s="53"/>
      <c r="B367" s="53"/>
      <c r="C367" s="12" t="s">
        <v>442</v>
      </c>
      <c r="D367" s="18">
        <f ca="1">'1RA GESTION DE LA CIUDAD'!F10</f>
        <v>86</v>
      </c>
      <c r="E367" s="19">
        <f ca="1">'1RA GESTION DE LA CIUDAD'!G10</f>
        <v>2</v>
      </c>
      <c r="F367" s="19">
        <f ca="1">'1RA GESTION DE LA CIUDAD'!H10</f>
        <v>3</v>
      </c>
      <c r="G367" s="19">
        <f ca="1">'1RA GESTION DE LA CIUDAD'!I10</f>
        <v>2</v>
      </c>
      <c r="H367" s="19">
        <f ca="1">'1RA GESTION DE LA CIUDAD'!J10</f>
        <v>0</v>
      </c>
      <c r="I367" s="19">
        <f ca="1">'1RA GESTION DE LA CIUDAD'!K10</f>
        <v>0</v>
      </c>
      <c r="J367" s="19">
        <f ca="1">'1RA GESTION DE LA CIUDAD'!L10</f>
        <v>1</v>
      </c>
      <c r="K367" s="19">
        <f ca="1">'1RA GESTION DE LA CIUDAD'!M10</f>
        <v>45</v>
      </c>
      <c r="L367" s="19">
        <f ca="1">'1RA GESTION DE LA CIUDAD'!N10</f>
        <v>42</v>
      </c>
      <c r="M367" s="19">
        <f ca="1">'1RA GESTION DE LA CIUDAD'!O10</f>
        <v>34</v>
      </c>
      <c r="N367" s="19">
        <f ca="1">'1RA GESTION DE LA CIUDAD'!P10</f>
        <v>0</v>
      </c>
      <c r="O367" s="19">
        <f ca="1">'1RA GESTION DE LA CIUDAD'!Q10</f>
        <v>0</v>
      </c>
      <c r="P367" s="19">
        <f ca="1">'1RA GESTION DE LA CIUDAD'!R10</f>
        <v>0</v>
      </c>
      <c r="Q367" s="21">
        <f ca="1">'1RA GESTION DE LA CIUDAD'!S10</f>
        <v>129</v>
      </c>
    </row>
    <row r="368" spans="1:17" ht="39.75" customHeight="1" thickTop="1" thickBot="1">
      <c r="A368" s="53"/>
      <c r="B368" s="51"/>
      <c r="C368" s="12" t="s">
        <v>443</v>
      </c>
      <c r="D368" s="18">
        <f ca="1">'1RA GESTION DE LA CIUDAD'!F11</f>
        <v>80</v>
      </c>
      <c r="E368" s="19">
        <f ca="1">'1RA GESTION DE LA CIUDAD'!G11</f>
        <v>62</v>
      </c>
      <c r="F368" s="19">
        <f ca="1">'1RA GESTION DE LA CIUDAD'!H11</f>
        <v>70</v>
      </c>
      <c r="G368" s="19">
        <f ca="1">'1RA GESTION DE LA CIUDAD'!I11</f>
        <v>60</v>
      </c>
      <c r="H368" s="19">
        <f ca="1">'1RA GESTION DE LA CIUDAD'!J11</f>
        <v>10</v>
      </c>
      <c r="I368" s="19">
        <f ca="1">'1RA GESTION DE LA CIUDAD'!K11</f>
        <v>15</v>
      </c>
      <c r="J368" s="19">
        <f ca="1">'1RA GESTION DE LA CIUDAD'!L11</f>
        <v>12</v>
      </c>
      <c r="K368" s="19">
        <f ca="1">'1RA GESTION DE LA CIUDAD'!M11</f>
        <v>1</v>
      </c>
      <c r="L368" s="19">
        <f ca="1">'1RA GESTION DE LA CIUDAD'!N11</f>
        <v>0</v>
      </c>
      <c r="M368" s="19">
        <f ca="1">'1RA GESTION DE LA CIUDAD'!O11</f>
        <v>2</v>
      </c>
      <c r="N368" s="19">
        <f ca="1">'1RA GESTION DE LA CIUDAD'!P11</f>
        <v>0</v>
      </c>
      <c r="O368" s="19">
        <f ca="1">'1RA GESTION DE LA CIUDAD'!Q11</f>
        <v>0</v>
      </c>
      <c r="P368" s="19">
        <f ca="1">'1RA GESTION DE LA CIUDAD'!R11</f>
        <v>0</v>
      </c>
      <c r="Q368" s="21">
        <f ca="1">'1RA GESTION DE LA CIUDAD'!S11</f>
        <v>232</v>
      </c>
    </row>
    <row r="369" spans="1:17" ht="39.75" customHeight="1" thickTop="1" thickBot="1">
      <c r="A369" s="53"/>
      <c r="B369" s="52" t="s">
        <v>444</v>
      </c>
      <c r="C369" s="12" t="s">
        <v>445</v>
      </c>
      <c r="D369" s="18">
        <f ca="1">'1RA GESTION DE LA CIUDAD'!F12</f>
        <v>92.8</v>
      </c>
      <c r="E369" s="19">
        <f ca="1">'1RA GESTION DE LA CIUDAD'!G12</f>
        <v>62</v>
      </c>
      <c r="F369" s="19">
        <f ca="1">'1RA GESTION DE LA CIUDAD'!H12</f>
        <v>70</v>
      </c>
      <c r="G369" s="19">
        <f ca="1">'1RA GESTION DE LA CIUDAD'!I12</f>
        <v>60</v>
      </c>
      <c r="H369" s="19">
        <f ca="1">'1RA GESTION DE LA CIUDAD'!J12</f>
        <v>10</v>
      </c>
      <c r="I369" s="19">
        <f ca="1">'1RA GESTION DE LA CIUDAD'!K12</f>
        <v>15</v>
      </c>
      <c r="J369" s="19">
        <f ca="1">'1RA GESTION DE LA CIUDAD'!L12</f>
        <v>12</v>
      </c>
      <c r="K369" s="19">
        <f ca="1">'1RA GESTION DE LA CIUDAD'!M12</f>
        <v>1</v>
      </c>
      <c r="L369" s="19">
        <f ca="1">'1RA GESTION DE LA CIUDAD'!N12</f>
        <v>0</v>
      </c>
      <c r="M369" s="19">
        <f ca="1">'1RA GESTION DE LA CIUDAD'!O12</f>
        <v>2</v>
      </c>
      <c r="N369" s="19">
        <f ca="1">'1RA GESTION DE LA CIUDAD'!P12</f>
        <v>0</v>
      </c>
      <c r="O369" s="19">
        <f ca="1">'1RA GESTION DE LA CIUDAD'!Q12</f>
        <v>0</v>
      </c>
      <c r="P369" s="19">
        <f ca="1">'1RA GESTION DE LA CIUDAD'!R12</f>
        <v>0</v>
      </c>
      <c r="Q369" s="21">
        <f ca="1">'1RA GESTION DE LA CIUDAD'!S12</f>
        <v>232</v>
      </c>
    </row>
    <row r="370" spans="1:17" ht="39.75" customHeight="1" thickTop="1" thickBot="1">
      <c r="A370" s="53"/>
      <c r="B370" s="53"/>
      <c r="C370" s="12" t="s">
        <v>447</v>
      </c>
      <c r="D370" s="18">
        <f ca="1">'1RA GESTION DE LA CIUDAD'!F13</f>
        <v>85.454545454545396</v>
      </c>
      <c r="E370" s="19">
        <f ca="1">'1RA GESTION DE LA CIUDAD'!G13</f>
        <v>0</v>
      </c>
      <c r="F370" s="19">
        <f ca="1">'1RA GESTION DE LA CIUDAD'!H13</f>
        <v>0</v>
      </c>
      <c r="G370" s="19">
        <f ca="1">'1RA GESTION DE LA CIUDAD'!I13</f>
        <v>0</v>
      </c>
      <c r="H370" s="19">
        <f ca="1">'1RA GESTION DE LA CIUDAD'!J13</f>
        <v>2</v>
      </c>
      <c r="I370" s="19">
        <f ca="1">'1RA GESTION DE LA CIUDAD'!K13</f>
        <v>11</v>
      </c>
      <c r="J370" s="19">
        <f ca="1">'1RA GESTION DE LA CIUDAD'!L13</f>
        <v>13</v>
      </c>
      <c r="K370" s="19">
        <f ca="1">'1RA GESTION DE LA CIUDAD'!M13</f>
        <v>5</v>
      </c>
      <c r="L370" s="19">
        <f ca="1">'1RA GESTION DE LA CIUDAD'!N13</f>
        <v>11</v>
      </c>
      <c r="M370" s="19">
        <f ca="1">'1RA GESTION DE LA CIUDAD'!O13</f>
        <v>3</v>
      </c>
      <c r="N370" s="19">
        <f ca="1">'1RA GESTION DE LA CIUDAD'!P13</f>
        <v>0</v>
      </c>
      <c r="O370" s="19">
        <f ca="1">'1RA GESTION DE LA CIUDAD'!Q13</f>
        <v>0</v>
      </c>
      <c r="P370" s="19">
        <f ca="1">'1RA GESTION DE LA CIUDAD'!R13</f>
        <v>2</v>
      </c>
      <c r="Q370" s="21">
        <f ca="1">'1RA GESTION DE LA CIUDAD'!S13</f>
        <v>47</v>
      </c>
    </row>
    <row r="371" spans="1:17" ht="39.75" customHeight="1" thickTop="1" thickBot="1">
      <c r="A371" s="53"/>
      <c r="B371" s="53"/>
      <c r="C371" s="12" t="s">
        <v>449</v>
      </c>
      <c r="D371" s="18">
        <f ca="1">'1RA GESTION DE LA CIUDAD'!F14</f>
        <v>107.57281553398001</v>
      </c>
      <c r="E371" s="19">
        <f ca="1">'1RA GESTION DE LA CIUDAD'!G14</f>
        <v>0</v>
      </c>
      <c r="F371" s="19">
        <f ca="1">'1RA GESTION DE LA CIUDAD'!H14</f>
        <v>0</v>
      </c>
      <c r="G371" s="19">
        <f ca="1">'1RA GESTION DE LA CIUDAD'!I14</f>
        <v>0</v>
      </c>
      <c r="H371" s="19">
        <f ca="1">'1RA GESTION DE LA CIUDAD'!J14</f>
        <v>82</v>
      </c>
      <c r="I371" s="19">
        <f ca="1">'1RA GESTION DE LA CIUDAD'!K14</f>
        <v>80</v>
      </c>
      <c r="J371" s="19">
        <f ca="1">'1RA GESTION DE LA CIUDAD'!L14</f>
        <v>54</v>
      </c>
      <c r="K371" s="19">
        <f ca="1">'1RA GESTION DE LA CIUDAD'!M14</f>
        <v>75</v>
      </c>
      <c r="L371" s="19">
        <f ca="1">'1RA GESTION DE LA CIUDAD'!N14</f>
        <v>74</v>
      </c>
      <c r="M371" s="19">
        <f ca="1">'1RA GESTION DE LA CIUDAD'!O14</f>
        <v>77</v>
      </c>
      <c r="N371" s="19">
        <f ca="1">'1RA GESTION DE LA CIUDAD'!P14</f>
        <v>0</v>
      </c>
      <c r="O371" s="19">
        <f ca="1">'1RA GESTION DE LA CIUDAD'!Q14</f>
        <v>0</v>
      </c>
      <c r="P371" s="19">
        <f ca="1">'1RA GESTION DE LA CIUDAD'!R14</f>
        <v>112</v>
      </c>
      <c r="Q371" s="21">
        <f ca="1">'1RA GESTION DE LA CIUDAD'!S14</f>
        <v>554</v>
      </c>
    </row>
    <row r="372" spans="1:17" ht="39.75" customHeight="1" thickTop="1" thickBot="1">
      <c r="A372" s="53"/>
      <c r="B372" s="53"/>
      <c r="C372" s="12" t="s">
        <v>451</v>
      </c>
      <c r="D372" s="18">
        <f ca="1">'1RA GESTION DE LA CIUDAD'!F15</f>
        <v>80.344827586206904</v>
      </c>
      <c r="E372" s="19">
        <f ca="1">'1RA GESTION DE LA CIUDAD'!G15</f>
        <v>0</v>
      </c>
      <c r="F372" s="19">
        <f ca="1">'1RA GESTION DE LA CIUDAD'!H15</f>
        <v>0</v>
      </c>
      <c r="G372" s="19">
        <f ca="1">'1RA GESTION DE LA CIUDAD'!I15</f>
        <v>0</v>
      </c>
      <c r="H372" s="19">
        <f ca="1">'1RA GESTION DE LA CIUDAD'!J15</f>
        <v>51</v>
      </c>
      <c r="I372" s="19">
        <f ca="1">'1RA GESTION DE LA CIUDAD'!K15</f>
        <v>33</v>
      </c>
      <c r="J372" s="19">
        <f ca="1">'1RA GESTION DE LA CIUDAD'!L15</f>
        <v>33</v>
      </c>
      <c r="K372" s="19">
        <f ca="1">'1RA GESTION DE LA CIUDAD'!M15</f>
        <v>27</v>
      </c>
      <c r="L372" s="19">
        <f ca="1">'1RA GESTION DE LA CIUDAD'!N15</f>
        <v>36</v>
      </c>
      <c r="M372" s="19">
        <f ca="1">'1RA GESTION DE LA CIUDAD'!O15</f>
        <v>18</v>
      </c>
      <c r="N372" s="19">
        <f ca="1">'1RA GESTION DE LA CIUDAD'!P15</f>
        <v>0</v>
      </c>
      <c r="O372" s="19">
        <f ca="1">'1RA GESTION DE LA CIUDAD'!Q15</f>
        <v>0</v>
      </c>
      <c r="P372" s="19">
        <f ca="1">'1RA GESTION DE LA CIUDAD'!R15</f>
        <v>35</v>
      </c>
      <c r="Q372" s="21">
        <f ca="1">'1RA GESTION DE LA CIUDAD'!S15</f>
        <v>233</v>
      </c>
    </row>
    <row r="373" spans="1:17" ht="39.75" customHeight="1" thickTop="1" thickBot="1">
      <c r="A373" s="53"/>
      <c r="B373" s="53"/>
      <c r="C373" s="12" t="s">
        <v>453</v>
      </c>
      <c r="D373" s="18">
        <f ca="1">'1RA GESTION DE LA CIUDAD'!F16</f>
        <v>103.181818181818</v>
      </c>
      <c r="E373" s="19">
        <f ca="1">'1RA GESTION DE LA CIUDAD'!G16</f>
        <v>0</v>
      </c>
      <c r="F373" s="19">
        <f ca="1">'1RA GESTION DE LA CIUDAD'!H16</f>
        <v>0</v>
      </c>
      <c r="G373" s="19">
        <f ca="1">'1RA GESTION DE LA CIUDAD'!I16</f>
        <v>0</v>
      </c>
      <c r="H373" s="19">
        <f ca="1">'1RA GESTION DE LA CIUDAD'!J16</f>
        <v>53</v>
      </c>
      <c r="I373" s="19">
        <f ca="1">'1RA GESTION DE LA CIUDAD'!K16</f>
        <v>35</v>
      </c>
      <c r="J373" s="19">
        <f ca="1">'1RA GESTION DE LA CIUDAD'!L16</f>
        <v>35</v>
      </c>
      <c r="K373" s="19">
        <f ca="1">'1RA GESTION DE LA CIUDAD'!M16</f>
        <v>25</v>
      </c>
      <c r="L373" s="19">
        <f ca="1">'1RA GESTION DE LA CIUDAD'!N16</f>
        <v>27</v>
      </c>
      <c r="M373" s="19">
        <f ca="1">'1RA GESTION DE LA CIUDAD'!O16</f>
        <v>15</v>
      </c>
      <c r="N373" s="19">
        <f ca="1">'1RA GESTION DE LA CIUDAD'!P16</f>
        <v>0</v>
      </c>
      <c r="O373" s="19">
        <f ca="1">'1RA GESTION DE LA CIUDAD'!Q16</f>
        <v>0</v>
      </c>
      <c r="P373" s="19">
        <f ca="1">'1RA GESTION DE LA CIUDAD'!R16</f>
        <v>37</v>
      </c>
      <c r="Q373" s="21">
        <f ca="1">'1RA GESTION DE LA CIUDAD'!S16</f>
        <v>227</v>
      </c>
    </row>
    <row r="374" spans="1:17" ht="39.75" customHeight="1" thickTop="1" thickBot="1">
      <c r="A374" s="53"/>
      <c r="B374" s="53"/>
      <c r="C374" s="12" t="s">
        <v>455</v>
      </c>
      <c r="D374" s="18">
        <f ca="1">'1RA GESTION DE LA CIUDAD'!F17</f>
        <v>0</v>
      </c>
      <c r="E374" s="19">
        <f ca="1">'1RA GESTION DE LA CIUDAD'!G17</f>
        <v>0</v>
      </c>
      <c r="F374" s="19">
        <f ca="1">'1RA GESTION DE LA CIUDAD'!H17</f>
        <v>0</v>
      </c>
      <c r="G374" s="19">
        <f ca="1">'1RA GESTION DE LA CIUDAD'!I17</f>
        <v>0</v>
      </c>
      <c r="H374" s="19">
        <f ca="1">'1RA GESTION DE LA CIUDAD'!J17</f>
        <v>0</v>
      </c>
      <c r="I374" s="19">
        <f ca="1">'1RA GESTION DE LA CIUDAD'!K17</f>
        <v>0</v>
      </c>
      <c r="J374" s="19">
        <f ca="1">'1RA GESTION DE LA CIUDAD'!L17</f>
        <v>0</v>
      </c>
      <c r="K374" s="19">
        <f ca="1">'1RA GESTION DE LA CIUDAD'!M17</f>
        <v>0</v>
      </c>
      <c r="L374" s="19">
        <f ca="1">'1RA GESTION DE LA CIUDAD'!N17</f>
        <v>0</v>
      </c>
      <c r="M374" s="19">
        <f ca="1">'1RA GESTION DE LA CIUDAD'!O17</f>
        <v>0</v>
      </c>
      <c r="N374" s="19">
        <f ca="1">'1RA GESTION DE LA CIUDAD'!P17</f>
        <v>0</v>
      </c>
      <c r="O374" s="19">
        <f ca="1">'1RA GESTION DE LA CIUDAD'!Q17</f>
        <v>0</v>
      </c>
      <c r="P374" s="19">
        <f ca="1">'1RA GESTION DE LA CIUDAD'!R17</f>
        <v>0</v>
      </c>
      <c r="Q374" s="21">
        <f ca="1">'1RA GESTION DE LA CIUDAD'!S17</f>
        <v>0</v>
      </c>
    </row>
    <row r="375" spans="1:17" ht="39.75" customHeight="1" thickTop="1" thickBot="1">
      <c r="A375" s="53"/>
      <c r="B375" s="53"/>
      <c r="C375" s="12" t="s">
        <v>457</v>
      </c>
      <c r="D375" s="18">
        <f ca="1">'1RA GESTION DE LA CIUDAD'!F18</f>
        <v>85.714285714285694</v>
      </c>
      <c r="E375" s="19">
        <f ca="1">'1RA GESTION DE LA CIUDAD'!G18</f>
        <v>0</v>
      </c>
      <c r="F375" s="19">
        <f ca="1">'1RA GESTION DE LA CIUDAD'!H18</f>
        <v>0</v>
      </c>
      <c r="G375" s="19">
        <f ca="1">'1RA GESTION DE LA CIUDAD'!I18</f>
        <v>0</v>
      </c>
      <c r="H375" s="19">
        <f ca="1">'1RA GESTION DE LA CIUDAD'!J18</f>
        <v>0</v>
      </c>
      <c r="I375" s="19">
        <f ca="1">'1RA GESTION DE LA CIUDAD'!K18</f>
        <v>1</v>
      </c>
      <c r="J375" s="19">
        <f ca="1">'1RA GESTION DE LA CIUDAD'!L18</f>
        <v>2</v>
      </c>
      <c r="K375" s="19">
        <f ca="1">'1RA GESTION DE LA CIUDAD'!M18</f>
        <v>2</v>
      </c>
      <c r="L375" s="19">
        <f ca="1">'1RA GESTION DE LA CIUDAD'!N18</f>
        <v>0</v>
      </c>
      <c r="M375" s="19">
        <f ca="1">'1RA GESTION DE LA CIUDAD'!O18</f>
        <v>1</v>
      </c>
      <c r="N375" s="19">
        <f ca="1">'1RA GESTION DE LA CIUDAD'!P18</f>
        <v>0</v>
      </c>
      <c r="O375" s="19">
        <f ca="1">'1RA GESTION DE LA CIUDAD'!Q18</f>
        <v>0</v>
      </c>
      <c r="P375" s="19">
        <f ca="1">'1RA GESTION DE LA CIUDAD'!R18</f>
        <v>0</v>
      </c>
      <c r="Q375" s="21">
        <f ca="1">'1RA GESTION DE LA CIUDAD'!S18</f>
        <v>6</v>
      </c>
    </row>
    <row r="376" spans="1:17" ht="39.75" customHeight="1" thickTop="1" thickBot="1">
      <c r="A376" s="51"/>
      <c r="B376" s="51"/>
      <c r="C376" s="12" t="s">
        <v>459</v>
      </c>
      <c r="D376" s="18">
        <f ca="1">'1RA GESTION DE LA CIUDAD'!F19</f>
        <v>50</v>
      </c>
      <c r="E376" s="19">
        <f ca="1">'1RA GESTION DE LA CIUDAD'!G19</f>
        <v>0</v>
      </c>
      <c r="F376" s="19">
        <f ca="1">'1RA GESTION DE LA CIUDAD'!H19</f>
        <v>0</v>
      </c>
      <c r="G376" s="19">
        <f ca="1">'1RA GESTION DE LA CIUDAD'!I19</f>
        <v>0</v>
      </c>
      <c r="H376" s="19">
        <f ca="1">'1RA GESTION DE LA CIUDAD'!J19</f>
        <v>1</v>
      </c>
      <c r="I376" s="19">
        <f ca="1">'1RA GESTION DE LA CIUDAD'!K19</f>
        <v>0</v>
      </c>
      <c r="J376" s="19">
        <f ca="1">'1RA GESTION DE LA CIUDAD'!L19</f>
        <v>0</v>
      </c>
      <c r="K376" s="19">
        <f ca="1">'1RA GESTION DE LA CIUDAD'!M19</f>
        <v>0</v>
      </c>
      <c r="L376" s="19">
        <f ca="1">'1RA GESTION DE LA CIUDAD'!N19</f>
        <v>0</v>
      </c>
      <c r="M376" s="19">
        <f ca="1">'1RA GESTION DE LA CIUDAD'!O19</f>
        <v>0</v>
      </c>
      <c r="N376" s="19">
        <f ca="1">'1RA GESTION DE LA CIUDAD'!P19</f>
        <v>0</v>
      </c>
      <c r="O376" s="19">
        <f ca="1">'1RA GESTION DE LA CIUDAD'!Q19</f>
        <v>0</v>
      </c>
      <c r="P376" s="19">
        <f ca="1">'1RA GESTION DE LA CIUDAD'!R19</f>
        <v>0</v>
      </c>
      <c r="Q376" s="21">
        <f ca="1">'1RA GESTION DE LA CIUDAD'!S19</f>
        <v>1</v>
      </c>
    </row>
    <row r="377" spans="1:17" ht="39.75" customHeight="1" thickTop="1" thickBot="1">
      <c r="A377" s="54" t="s">
        <v>461</v>
      </c>
      <c r="B377" s="50" t="s">
        <v>462</v>
      </c>
      <c r="C377" s="27" t="s">
        <v>463</v>
      </c>
      <c r="D377" s="18">
        <f ca="1">'1RA PROTECCION CIVIL'!F2</f>
        <v>0</v>
      </c>
      <c r="E377" s="19">
        <f ca="1">'1RA PROTECCION CIVIL'!G2</f>
        <v>0</v>
      </c>
      <c r="F377" s="19">
        <f ca="1">'1RA PROTECCION CIVIL'!H2</f>
        <v>0</v>
      </c>
      <c r="G377" s="19">
        <f ca="1">'1RA PROTECCION CIVIL'!I2</f>
        <v>0</v>
      </c>
      <c r="H377" s="19">
        <f ca="1">'1RA PROTECCION CIVIL'!J2</f>
        <v>0</v>
      </c>
      <c r="I377" s="19">
        <f ca="1">'1RA PROTECCION CIVIL'!K2</f>
        <v>0</v>
      </c>
      <c r="J377" s="19">
        <f ca="1">'1RA PROTECCION CIVIL'!L2</f>
        <v>0</v>
      </c>
      <c r="K377" s="19">
        <f ca="1">'1RA PROTECCION CIVIL'!M2</f>
        <v>0</v>
      </c>
      <c r="L377" s="19">
        <f ca="1">'1RA PROTECCION CIVIL'!N2</f>
        <v>0</v>
      </c>
      <c r="M377" s="19">
        <f ca="1">'1RA PROTECCION CIVIL'!O2</f>
        <v>0</v>
      </c>
      <c r="N377" s="19">
        <f ca="1">'1RA PROTECCION CIVIL'!P2</f>
        <v>0</v>
      </c>
      <c r="O377" s="19">
        <f ca="1">'1RA PROTECCION CIVIL'!Q2</f>
        <v>0</v>
      </c>
      <c r="P377" s="19">
        <f ca="1">'1RA PROTECCION CIVIL'!R2</f>
        <v>0</v>
      </c>
      <c r="Q377" s="21">
        <f ca="1">'1RA PROTECCION CIVIL'!S2</f>
        <v>0</v>
      </c>
    </row>
    <row r="378" spans="1:17" ht="39.75" customHeight="1" thickTop="1" thickBot="1">
      <c r="A378" s="53"/>
      <c r="B378" s="53"/>
      <c r="C378" s="27" t="s">
        <v>464</v>
      </c>
      <c r="D378" s="18">
        <f ca="1">'1RA PROTECCION CIVIL'!F3</f>
        <v>0</v>
      </c>
      <c r="E378" s="19">
        <f ca="1">'1RA PROTECCION CIVIL'!G3</f>
        <v>0</v>
      </c>
      <c r="F378" s="19">
        <f ca="1">'1RA PROTECCION CIVIL'!H3</f>
        <v>0</v>
      </c>
      <c r="G378" s="19">
        <f ca="1">'1RA PROTECCION CIVIL'!I3</f>
        <v>0</v>
      </c>
      <c r="H378" s="19">
        <f ca="1">'1RA PROTECCION CIVIL'!J3</f>
        <v>0</v>
      </c>
      <c r="I378" s="19">
        <f ca="1">'1RA PROTECCION CIVIL'!K3</f>
        <v>0</v>
      </c>
      <c r="J378" s="19">
        <f ca="1">'1RA PROTECCION CIVIL'!L3</f>
        <v>0</v>
      </c>
      <c r="K378" s="19">
        <f ca="1">'1RA PROTECCION CIVIL'!M3</f>
        <v>0</v>
      </c>
      <c r="L378" s="19">
        <f ca="1">'1RA PROTECCION CIVIL'!N3</f>
        <v>0</v>
      </c>
      <c r="M378" s="19">
        <f ca="1">'1RA PROTECCION CIVIL'!O3</f>
        <v>0</v>
      </c>
      <c r="N378" s="19">
        <f ca="1">'1RA PROTECCION CIVIL'!P3</f>
        <v>0</v>
      </c>
      <c r="O378" s="19">
        <f ca="1">'1RA PROTECCION CIVIL'!Q3</f>
        <v>0</v>
      </c>
      <c r="P378" s="19">
        <f ca="1">'1RA PROTECCION CIVIL'!R3</f>
        <v>0</v>
      </c>
      <c r="Q378" s="21">
        <f ca="1">'1RA PROTECCION CIVIL'!S3</f>
        <v>0</v>
      </c>
    </row>
    <row r="379" spans="1:17" ht="39.75" customHeight="1" thickTop="1" thickBot="1">
      <c r="A379" s="53"/>
      <c r="B379" s="53"/>
      <c r="C379" s="27" t="s">
        <v>465</v>
      </c>
      <c r="D379" s="18">
        <f ca="1">'1RA PROTECCION CIVIL'!F4</f>
        <v>0</v>
      </c>
      <c r="E379" s="19">
        <f ca="1">'1RA PROTECCION CIVIL'!G4</f>
        <v>0</v>
      </c>
      <c r="F379" s="19">
        <f ca="1">'1RA PROTECCION CIVIL'!H4</f>
        <v>0</v>
      </c>
      <c r="G379" s="19">
        <f ca="1">'1RA PROTECCION CIVIL'!I4</f>
        <v>0</v>
      </c>
      <c r="H379" s="19">
        <f ca="1">'1RA PROTECCION CIVIL'!J4</f>
        <v>0</v>
      </c>
      <c r="I379" s="19">
        <f ca="1">'1RA PROTECCION CIVIL'!K4</f>
        <v>0</v>
      </c>
      <c r="J379" s="19">
        <f ca="1">'1RA PROTECCION CIVIL'!L4</f>
        <v>0</v>
      </c>
      <c r="K379" s="19">
        <f ca="1">'1RA PROTECCION CIVIL'!M4</f>
        <v>0</v>
      </c>
      <c r="L379" s="19">
        <f ca="1">'1RA PROTECCION CIVIL'!N4</f>
        <v>0</v>
      </c>
      <c r="M379" s="19">
        <f ca="1">'1RA PROTECCION CIVIL'!O4</f>
        <v>0</v>
      </c>
      <c r="N379" s="19">
        <f ca="1">'1RA PROTECCION CIVIL'!P4</f>
        <v>0</v>
      </c>
      <c r="O379" s="19">
        <f ca="1">'1RA PROTECCION CIVIL'!Q4</f>
        <v>0</v>
      </c>
      <c r="P379" s="19">
        <f ca="1">'1RA PROTECCION CIVIL'!R4</f>
        <v>0</v>
      </c>
      <c r="Q379" s="21">
        <f ca="1">'1RA PROTECCION CIVIL'!S4</f>
        <v>0</v>
      </c>
    </row>
    <row r="380" spans="1:17" ht="39.75" customHeight="1" thickTop="1" thickBot="1">
      <c r="A380" s="53"/>
      <c r="B380" s="53"/>
      <c r="C380" s="27" t="s">
        <v>466</v>
      </c>
      <c r="D380" s="18">
        <f ca="1">'1RA PROTECCION CIVIL'!F5</f>
        <v>0</v>
      </c>
      <c r="E380" s="19">
        <f ca="1">'1RA PROTECCION CIVIL'!G5</f>
        <v>0</v>
      </c>
      <c r="F380" s="19">
        <f ca="1">'1RA PROTECCION CIVIL'!H5</f>
        <v>0</v>
      </c>
      <c r="G380" s="19">
        <f ca="1">'1RA PROTECCION CIVIL'!I5</f>
        <v>0</v>
      </c>
      <c r="H380" s="19">
        <f ca="1">'1RA PROTECCION CIVIL'!J5</f>
        <v>0</v>
      </c>
      <c r="I380" s="19">
        <f ca="1">'1RA PROTECCION CIVIL'!K5</f>
        <v>0</v>
      </c>
      <c r="J380" s="19">
        <f ca="1">'1RA PROTECCION CIVIL'!L5</f>
        <v>0</v>
      </c>
      <c r="K380" s="19">
        <f ca="1">'1RA PROTECCION CIVIL'!M5</f>
        <v>0</v>
      </c>
      <c r="L380" s="19">
        <f ca="1">'1RA PROTECCION CIVIL'!N5</f>
        <v>0</v>
      </c>
      <c r="M380" s="19">
        <f ca="1">'1RA PROTECCION CIVIL'!O5</f>
        <v>0</v>
      </c>
      <c r="N380" s="19">
        <f ca="1">'1RA PROTECCION CIVIL'!P5</f>
        <v>0</v>
      </c>
      <c r="O380" s="19">
        <f ca="1">'1RA PROTECCION CIVIL'!Q5</f>
        <v>0</v>
      </c>
      <c r="P380" s="19">
        <f ca="1">'1RA PROTECCION CIVIL'!R5</f>
        <v>0</v>
      </c>
      <c r="Q380" s="21">
        <f ca="1">'1RA PROTECCION CIVIL'!S5</f>
        <v>0</v>
      </c>
    </row>
    <row r="381" spans="1:17" ht="39.75" customHeight="1" thickTop="1" thickBot="1">
      <c r="A381" s="53"/>
      <c r="B381" s="53"/>
      <c r="C381" s="27" t="s">
        <v>467</v>
      </c>
      <c r="D381" s="18">
        <f ca="1">'1RA PROTECCION CIVIL'!F6</f>
        <v>0</v>
      </c>
      <c r="E381" s="19">
        <f ca="1">'1RA PROTECCION CIVIL'!G6</f>
        <v>0</v>
      </c>
      <c r="F381" s="19">
        <f ca="1">'1RA PROTECCION CIVIL'!H6</f>
        <v>0</v>
      </c>
      <c r="G381" s="19">
        <f ca="1">'1RA PROTECCION CIVIL'!I6</f>
        <v>0</v>
      </c>
      <c r="H381" s="19">
        <f ca="1">'1RA PROTECCION CIVIL'!J6</f>
        <v>0</v>
      </c>
      <c r="I381" s="19">
        <f ca="1">'1RA PROTECCION CIVIL'!K6</f>
        <v>0</v>
      </c>
      <c r="J381" s="19">
        <f ca="1">'1RA PROTECCION CIVIL'!L6</f>
        <v>0</v>
      </c>
      <c r="K381" s="19">
        <f ca="1">'1RA PROTECCION CIVIL'!M6</f>
        <v>0</v>
      </c>
      <c r="L381" s="19">
        <f ca="1">'1RA PROTECCION CIVIL'!N6</f>
        <v>0</v>
      </c>
      <c r="M381" s="19">
        <f ca="1">'1RA PROTECCION CIVIL'!O6</f>
        <v>0</v>
      </c>
      <c r="N381" s="19">
        <f ca="1">'1RA PROTECCION CIVIL'!P6</f>
        <v>0</v>
      </c>
      <c r="O381" s="19">
        <f ca="1">'1RA PROTECCION CIVIL'!Q6</f>
        <v>0</v>
      </c>
      <c r="P381" s="19">
        <f ca="1">'1RA PROTECCION CIVIL'!R6</f>
        <v>0</v>
      </c>
      <c r="Q381" s="21">
        <f ca="1">'1RA PROTECCION CIVIL'!S6</f>
        <v>0</v>
      </c>
    </row>
    <row r="382" spans="1:17" ht="39.75" customHeight="1" thickTop="1" thickBot="1">
      <c r="A382" s="53"/>
      <c r="B382" s="53"/>
      <c r="C382" s="27" t="s">
        <v>468</v>
      </c>
      <c r="D382" s="18">
        <f ca="1">'1RA PROTECCION CIVIL'!F7</f>
        <v>42.857142857142797</v>
      </c>
      <c r="E382" s="19">
        <f ca="1">'1RA PROTECCION CIVIL'!G7</f>
        <v>0</v>
      </c>
      <c r="F382" s="19">
        <f ca="1">'1RA PROTECCION CIVIL'!H7</f>
        <v>0</v>
      </c>
      <c r="G382" s="19">
        <f ca="1">'1RA PROTECCION CIVIL'!I7</f>
        <v>0</v>
      </c>
      <c r="H382" s="19">
        <f ca="1">'1RA PROTECCION CIVIL'!J7</f>
        <v>0</v>
      </c>
      <c r="I382" s="19">
        <f ca="1">'1RA PROTECCION CIVIL'!K7</f>
        <v>0</v>
      </c>
      <c r="J382" s="19">
        <f ca="1">'1RA PROTECCION CIVIL'!L7</f>
        <v>0</v>
      </c>
      <c r="K382" s="19">
        <f ca="1">'1RA PROTECCION CIVIL'!M7</f>
        <v>2</v>
      </c>
      <c r="L382" s="19">
        <f ca="1">'1RA PROTECCION CIVIL'!N7</f>
        <v>1</v>
      </c>
      <c r="M382" s="19">
        <f ca="1">'1RA PROTECCION CIVIL'!O7</f>
        <v>0</v>
      </c>
      <c r="N382" s="19">
        <f ca="1">'1RA PROTECCION CIVIL'!P7</f>
        <v>0</v>
      </c>
      <c r="O382" s="19">
        <f ca="1">'1RA PROTECCION CIVIL'!Q7</f>
        <v>0</v>
      </c>
      <c r="P382" s="19">
        <f ca="1">'1RA PROTECCION CIVIL'!R7</f>
        <v>0</v>
      </c>
      <c r="Q382" s="21">
        <f ca="1">'1RA PROTECCION CIVIL'!S7</f>
        <v>3</v>
      </c>
    </row>
    <row r="383" spans="1:17" ht="39.75" customHeight="1" thickTop="1" thickBot="1">
      <c r="A383" s="53"/>
      <c r="B383" s="53"/>
      <c r="C383" s="27" t="s">
        <v>469</v>
      </c>
      <c r="D383" s="18">
        <f ca="1">'1RA PROTECCION CIVIL'!F8</f>
        <v>0</v>
      </c>
      <c r="E383" s="19">
        <f ca="1">'1RA PROTECCION CIVIL'!G8</f>
        <v>0</v>
      </c>
      <c r="F383" s="19">
        <f ca="1">'1RA PROTECCION CIVIL'!H8</f>
        <v>0</v>
      </c>
      <c r="G383" s="19">
        <f ca="1">'1RA PROTECCION CIVIL'!I8</f>
        <v>0</v>
      </c>
      <c r="H383" s="19">
        <f ca="1">'1RA PROTECCION CIVIL'!J8</f>
        <v>0</v>
      </c>
      <c r="I383" s="19">
        <f ca="1">'1RA PROTECCION CIVIL'!K8</f>
        <v>0</v>
      </c>
      <c r="J383" s="19">
        <f ca="1">'1RA PROTECCION CIVIL'!L8</f>
        <v>0</v>
      </c>
      <c r="K383" s="19">
        <f ca="1">'1RA PROTECCION CIVIL'!M8</f>
        <v>0</v>
      </c>
      <c r="L383" s="19">
        <f ca="1">'1RA PROTECCION CIVIL'!N8</f>
        <v>0</v>
      </c>
      <c r="M383" s="19">
        <f ca="1">'1RA PROTECCION CIVIL'!O8</f>
        <v>0</v>
      </c>
      <c r="N383" s="19">
        <f ca="1">'1RA PROTECCION CIVIL'!P8</f>
        <v>0</v>
      </c>
      <c r="O383" s="19">
        <f ca="1">'1RA PROTECCION CIVIL'!Q8</f>
        <v>0</v>
      </c>
      <c r="P383" s="19">
        <f ca="1">'1RA PROTECCION CIVIL'!R8</f>
        <v>0</v>
      </c>
      <c r="Q383" s="21">
        <f ca="1">'1RA PROTECCION CIVIL'!S8</f>
        <v>0</v>
      </c>
    </row>
    <row r="384" spans="1:17" ht="39.75" customHeight="1" thickTop="1" thickBot="1">
      <c r="A384" s="53"/>
      <c r="B384" s="53"/>
      <c r="C384" s="27" t="s">
        <v>470</v>
      </c>
      <c r="D384" s="18">
        <f ca="1">'1RA PROTECCION CIVIL'!F9</f>
        <v>0</v>
      </c>
      <c r="E384" s="19">
        <f ca="1">'1RA PROTECCION CIVIL'!G9</f>
        <v>0</v>
      </c>
      <c r="F384" s="19">
        <f ca="1">'1RA PROTECCION CIVIL'!H9</f>
        <v>0</v>
      </c>
      <c r="G384" s="19">
        <f ca="1">'1RA PROTECCION CIVIL'!I9</f>
        <v>0</v>
      </c>
      <c r="H384" s="19">
        <f ca="1">'1RA PROTECCION CIVIL'!J9</f>
        <v>0</v>
      </c>
      <c r="I384" s="19">
        <f ca="1">'1RA PROTECCION CIVIL'!K9</f>
        <v>0</v>
      </c>
      <c r="J384" s="19">
        <f ca="1">'1RA PROTECCION CIVIL'!L9</f>
        <v>0</v>
      </c>
      <c r="K384" s="19">
        <f ca="1">'1RA PROTECCION CIVIL'!M9</f>
        <v>0</v>
      </c>
      <c r="L384" s="19">
        <f ca="1">'1RA PROTECCION CIVIL'!N9</f>
        <v>0</v>
      </c>
      <c r="M384" s="19">
        <f ca="1">'1RA PROTECCION CIVIL'!O9</f>
        <v>0</v>
      </c>
      <c r="N384" s="19">
        <f ca="1">'1RA PROTECCION CIVIL'!P9</f>
        <v>0</v>
      </c>
      <c r="O384" s="19">
        <f ca="1">'1RA PROTECCION CIVIL'!Q9</f>
        <v>0</v>
      </c>
      <c r="P384" s="19">
        <f ca="1">'1RA PROTECCION CIVIL'!R9</f>
        <v>0</v>
      </c>
      <c r="Q384" s="21">
        <f ca="1">'1RA PROTECCION CIVIL'!S9</f>
        <v>0</v>
      </c>
    </row>
    <row r="385" spans="1:17" ht="39.75" customHeight="1" thickTop="1" thickBot="1">
      <c r="A385" s="53"/>
      <c r="B385" s="53"/>
      <c r="C385" s="27" t="s">
        <v>471</v>
      </c>
      <c r="D385" s="18">
        <f ca="1">'1RA PROTECCION CIVIL'!F10</f>
        <v>0</v>
      </c>
      <c r="E385" s="19">
        <f ca="1">'1RA PROTECCION CIVIL'!G10</f>
        <v>0</v>
      </c>
      <c r="F385" s="19">
        <f ca="1">'1RA PROTECCION CIVIL'!H10</f>
        <v>0</v>
      </c>
      <c r="G385" s="19">
        <f ca="1">'1RA PROTECCION CIVIL'!I10</f>
        <v>0</v>
      </c>
      <c r="H385" s="19">
        <f ca="1">'1RA PROTECCION CIVIL'!J10</f>
        <v>0</v>
      </c>
      <c r="I385" s="19">
        <f ca="1">'1RA PROTECCION CIVIL'!K10</f>
        <v>0</v>
      </c>
      <c r="J385" s="19">
        <f ca="1">'1RA PROTECCION CIVIL'!L10</f>
        <v>0</v>
      </c>
      <c r="K385" s="19">
        <f ca="1">'1RA PROTECCION CIVIL'!M10</f>
        <v>0</v>
      </c>
      <c r="L385" s="19">
        <f ca="1">'1RA PROTECCION CIVIL'!N10</f>
        <v>0</v>
      </c>
      <c r="M385" s="19">
        <f ca="1">'1RA PROTECCION CIVIL'!O10</f>
        <v>0</v>
      </c>
      <c r="N385" s="19">
        <f ca="1">'1RA PROTECCION CIVIL'!P10</f>
        <v>0</v>
      </c>
      <c r="O385" s="19">
        <f ca="1">'1RA PROTECCION CIVIL'!Q10</f>
        <v>0</v>
      </c>
      <c r="P385" s="19">
        <f ca="1">'1RA PROTECCION CIVIL'!R10</f>
        <v>0</v>
      </c>
      <c r="Q385" s="21">
        <f ca="1">'1RA PROTECCION CIVIL'!S10</f>
        <v>0</v>
      </c>
    </row>
    <row r="386" spans="1:17" ht="39.75" customHeight="1" thickTop="1" thickBot="1">
      <c r="A386" s="53"/>
      <c r="B386" s="53"/>
      <c r="C386" s="27" t="s">
        <v>472</v>
      </c>
      <c r="D386" s="18">
        <f ca="1">'1RA PROTECCION CIVIL'!F11</f>
        <v>143.75</v>
      </c>
      <c r="E386" s="19">
        <f ca="1">'1RA PROTECCION CIVIL'!G11</f>
        <v>3</v>
      </c>
      <c r="F386" s="19">
        <f ca="1">'1RA PROTECCION CIVIL'!H11</f>
        <v>5</v>
      </c>
      <c r="G386" s="19">
        <f ca="1">'1RA PROTECCION CIVIL'!I11</f>
        <v>0</v>
      </c>
      <c r="H386" s="19">
        <f ca="1">'1RA PROTECCION CIVIL'!J11</f>
        <v>5</v>
      </c>
      <c r="I386" s="19">
        <f ca="1">'1RA PROTECCION CIVIL'!K11</f>
        <v>0</v>
      </c>
      <c r="J386" s="19">
        <f ca="1">'1RA PROTECCION CIVIL'!L11</f>
        <v>4</v>
      </c>
      <c r="K386" s="19">
        <f ca="1">'1RA PROTECCION CIVIL'!M11</f>
        <v>0</v>
      </c>
      <c r="L386" s="19">
        <f ca="1">'1RA PROTECCION CIVIL'!N11</f>
        <v>2</v>
      </c>
      <c r="M386" s="19">
        <f ca="1">'1RA PROTECCION CIVIL'!O11</f>
        <v>4</v>
      </c>
      <c r="N386" s="19">
        <f ca="1">'1RA PROTECCION CIVIL'!P11</f>
        <v>0</v>
      </c>
      <c r="O386" s="19">
        <f ca="1">'1RA PROTECCION CIVIL'!Q11</f>
        <v>0</v>
      </c>
      <c r="P386" s="19">
        <f ca="1">'1RA PROTECCION CIVIL'!R11</f>
        <v>0</v>
      </c>
      <c r="Q386" s="21">
        <f ca="1">'1RA PROTECCION CIVIL'!S11</f>
        <v>23</v>
      </c>
    </row>
    <row r="387" spans="1:17" ht="39.75" customHeight="1" thickTop="1" thickBot="1">
      <c r="A387" s="53"/>
      <c r="B387" s="53"/>
      <c r="C387" s="27" t="s">
        <v>473</v>
      </c>
      <c r="D387" s="18">
        <f ca="1">'1RA PROTECCION CIVIL'!F12</f>
        <v>0</v>
      </c>
      <c r="E387" s="19">
        <f ca="1">'1RA PROTECCION CIVIL'!G12</f>
        <v>0</v>
      </c>
      <c r="F387" s="19">
        <f ca="1">'1RA PROTECCION CIVIL'!H12</f>
        <v>0</v>
      </c>
      <c r="G387" s="19">
        <f ca="1">'1RA PROTECCION CIVIL'!I12</f>
        <v>0</v>
      </c>
      <c r="H387" s="19">
        <f ca="1">'1RA PROTECCION CIVIL'!J12</f>
        <v>0</v>
      </c>
      <c r="I387" s="19">
        <f ca="1">'1RA PROTECCION CIVIL'!K12</f>
        <v>0</v>
      </c>
      <c r="J387" s="19">
        <f ca="1">'1RA PROTECCION CIVIL'!L12</f>
        <v>0</v>
      </c>
      <c r="K387" s="19">
        <f ca="1">'1RA PROTECCION CIVIL'!M12</f>
        <v>0</v>
      </c>
      <c r="L387" s="19">
        <f ca="1">'1RA PROTECCION CIVIL'!N12</f>
        <v>0</v>
      </c>
      <c r="M387" s="19">
        <f ca="1">'1RA PROTECCION CIVIL'!O12</f>
        <v>0</v>
      </c>
      <c r="N387" s="19">
        <f ca="1">'1RA PROTECCION CIVIL'!P12</f>
        <v>0</v>
      </c>
      <c r="O387" s="19">
        <f ca="1">'1RA PROTECCION CIVIL'!Q12</f>
        <v>0</v>
      </c>
      <c r="P387" s="19">
        <f ca="1">'1RA PROTECCION CIVIL'!R12</f>
        <v>0</v>
      </c>
      <c r="Q387" s="21">
        <f ca="1">'1RA PROTECCION CIVIL'!S12</f>
        <v>0</v>
      </c>
    </row>
    <row r="388" spans="1:17" ht="39.75" customHeight="1" thickTop="1" thickBot="1">
      <c r="A388" s="53"/>
      <c r="B388" s="53"/>
      <c r="C388" s="27" t="s">
        <v>474</v>
      </c>
      <c r="D388" s="18">
        <f ca="1">'1RA PROTECCION CIVIL'!F13</f>
        <v>237.5</v>
      </c>
      <c r="E388" s="19">
        <f ca="1">'1RA PROTECCION CIVIL'!G13</f>
        <v>3</v>
      </c>
      <c r="F388" s="19">
        <f ca="1">'1RA PROTECCION CIVIL'!H13</f>
        <v>0</v>
      </c>
      <c r="G388" s="19">
        <f ca="1">'1RA PROTECCION CIVIL'!I13</f>
        <v>0</v>
      </c>
      <c r="H388" s="19">
        <f ca="1">'1RA PROTECCION CIVIL'!J13</f>
        <v>2</v>
      </c>
      <c r="I388" s="19">
        <f ca="1">'1RA PROTECCION CIVIL'!K13</f>
        <v>8</v>
      </c>
      <c r="J388" s="19">
        <f ca="1">'1RA PROTECCION CIVIL'!L13</f>
        <v>4</v>
      </c>
      <c r="K388" s="19">
        <f ca="1">'1RA PROTECCION CIVIL'!M13</f>
        <v>2</v>
      </c>
      <c r="L388" s="19">
        <f ca="1">'1RA PROTECCION CIVIL'!N13</f>
        <v>0</v>
      </c>
      <c r="M388" s="19">
        <f ca="1">'1RA PROTECCION CIVIL'!O13</f>
        <v>0</v>
      </c>
      <c r="N388" s="19">
        <f ca="1">'1RA PROTECCION CIVIL'!P13</f>
        <v>0</v>
      </c>
      <c r="O388" s="19">
        <f ca="1">'1RA PROTECCION CIVIL'!Q13</f>
        <v>0</v>
      </c>
      <c r="P388" s="19">
        <f ca="1">'1RA PROTECCION CIVIL'!R13</f>
        <v>0</v>
      </c>
      <c r="Q388" s="21">
        <f ca="1">'1RA PROTECCION CIVIL'!S13</f>
        <v>19</v>
      </c>
    </row>
    <row r="389" spans="1:17" ht="39.75" customHeight="1" thickTop="1" thickBot="1">
      <c r="A389" s="53"/>
      <c r="B389" s="53"/>
      <c r="C389" s="27" t="s">
        <v>475</v>
      </c>
      <c r="D389" s="18">
        <f ca="1">'1RA PROTECCION CIVIL'!F14</f>
        <v>0</v>
      </c>
      <c r="E389" s="19">
        <f ca="1">'1RA PROTECCION CIVIL'!G14</f>
        <v>0</v>
      </c>
      <c r="F389" s="19">
        <f ca="1">'1RA PROTECCION CIVIL'!H14</f>
        <v>0</v>
      </c>
      <c r="G389" s="19">
        <f ca="1">'1RA PROTECCION CIVIL'!I14</f>
        <v>0</v>
      </c>
      <c r="H389" s="19">
        <f ca="1">'1RA PROTECCION CIVIL'!J14</f>
        <v>0</v>
      </c>
      <c r="I389" s="19">
        <f ca="1">'1RA PROTECCION CIVIL'!K14</f>
        <v>0</v>
      </c>
      <c r="J389" s="19">
        <f ca="1">'1RA PROTECCION CIVIL'!L14</f>
        <v>0</v>
      </c>
      <c r="K389" s="19">
        <f ca="1">'1RA PROTECCION CIVIL'!M14</f>
        <v>0</v>
      </c>
      <c r="L389" s="19">
        <f ca="1">'1RA PROTECCION CIVIL'!N14</f>
        <v>0</v>
      </c>
      <c r="M389" s="19">
        <f ca="1">'1RA PROTECCION CIVIL'!O14</f>
        <v>0</v>
      </c>
      <c r="N389" s="19">
        <f ca="1">'1RA PROTECCION CIVIL'!P14</f>
        <v>0</v>
      </c>
      <c r="O389" s="19">
        <f ca="1">'1RA PROTECCION CIVIL'!Q14</f>
        <v>0</v>
      </c>
      <c r="P389" s="19">
        <f ca="1">'1RA PROTECCION CIVIL'!R14</f>
        <v>0</v>
      </c>
      <c r="Q389" s="21">
        <f ca="1">'1RA PROTECCION CIVIL'!S14</f>
        <v>0</v>
      </c>
    </row>
    <row r="390" spans="1:17" ht="39.75" customHeight="1" thickTop="1" thickBot="1">
      <c r="A390" s="53"/>
      <c r="B390" s="53"/>
      <c r="C390" s="27" t="s">
        <v>476</v>
      </c>
      <c r="D390" s="18">
        <f ca="1">'1RA PROTECCION CIVIL'!F15</f>
        <v>0</v>
      </c>
      <c r="E390" s="19">
        <f ca="1">'1RA PROTECCION CIVIL'!G15</f>
        <v>0</v>
      </c>
      <c r="F390" s="19">
        <f ca="1">'1RA PROTECCION CIVIL'!H15</f>
        <v>0</v>
      </c>
      <c r="G390" s="19">
        <f ca="1">'1RA PROTECCION CIVIL'!I15</f>
        <v>0</v>
      </c>
      <c r="H390" s="19">
        <f ca="1">'1RA PROTECCION CIVIL'!J15</f>
        <v>0</v>
      </c>
      <c r="I390" s="19">
        <f ca="1">'1RA PROTECCION CIVIL'!K15</f>
        <v>0</v>
      </c>
      <c r="J390" s="19">
        <f ca="1">'1RA PROTECCION CIVIL'!L15</f>
        <v>0</v>
      </c>
      <c r="K390" s="19">
        <f ca="1">'1RA PROTECCION CIVIL'!M15</f>
        <v>0</v>
      </c>
      <c r="L390" s="19">
        <f ca="1">'1RA PROTECCION CIVIL'!N15</f>
        <v>0</v>
      </c>
      <c r="M390" s="19">
        <f ca="1">'1RA PROTECCION CIVIL'!O15</f>
        <v>0</v>
      </c>
      <c r="N390" s="19">
        <f ca="1">'1RA PROTECCION CIVIL'!P15</f>
        <v>0</v>
      </c>
      <c r="O390" s="19">
        <f ca="1">'1RA PROTECCION CIVIL'!Q15</f>
        <v>0</v>
      </c>
      <c r="P390" s="19">
        <f ca="1">'1RA PROTECCION CIVIL'!R15</f>
        <v>0</v>
      </c>
      <c r="Q390" s="21">
        <f ca="1">'1RA PROTECCION CIVIL'!S15</f>
        <v>0</v>
      </c>
    </row>
    <row r="391" spans="1:17" ht="39.75" customHeight="1" thickTop="1" thickBot="1">
      <c r="A391" s="53"/>
      <c r="B391" s="53"/>
      <c r="C391" s="27" t="s">
        <v>477</v>
      </c>
      <c r="D391" s="18">
        <f ca="1">'1RA PROTECCION CIVIL'!F16</f>
        <v>0</v>
      </c>
      <c r="E391" s="19">
        <f ca="1">'1RA PROTECCION CIVIL'!G16</f>
        <v>0</v>
      </c>
      <c r="F391" s="19">
        <f ca="1">'1RA PROTECCION CIVIL'!H16</f>
        <v>0</v>
      </c>
      <c r="G391" s="19">
        <f ca="1">'1RA PROTECCION CIVIL'!I16</f>
        <v>0</v>
      </c>
      <c r="H391" s="19">
        <f ca="1">'1RA PROTECCION CIVIL'!J16</f>
        <v>0</v>
      </c>
      <c r="I391" s="19">
        <f ca="1">'1RA PROTECCION CIVIL'!K16</f>
        <v>0</v>
      </c>
      <c r="J391" s="19">
        <f ca="1">'1RA PROTECCION CIVIL'!L16</f>
        <v>0</v>
      </c>
      <c r="K391" s="19">
        <f ca="1">'1RA PROTECCION CIVIL'!M16</f>
        <v>0</v>
      </c>
      <c r="L391" s="19">
        <f ca="1">'1RA PROTECCION CIVIL'!N16</f>
        <v>0</v>
      </c>
      <c r="M391" s="19">
        <f ca="1">'1RA PROTECCION CIVIL'!O16</f>
        <v>0</v>
      </c>
      <c r="N391" s="19">
        <f ca="1">'1RA PROTECCION CIVIL'!P16</f>
        <v>0</v>
      </c>
      <c r="O391" s="19">
        <f ca="1">'1RA PROTECCION CIVIL'!Q16</f>
        <v>0</v>
      </c>
      <c r="P391" s="19">
        <f ca="1">'1RA PROTECCION CIVIL'!R16</f>
        <v>0</v>
      </c>
      <c r="Q391" s="21">
        <f ca="1">'1RA PROTECCION CIVIL'!S16</f>
        <v>0</v>
      </c>
    </row>
    <row r="392" spans="1:17" ht="39.75" customHeight="1" thickTop="1" thickBot="1">
      <c r="A392" s="53"/>
      <c r="B392" s="53"/>
      <c r="C392" s="27" t="s">
        <v>478</v>
      </c>
      <c r="D392" s="18">
        <f ca="1">'1RA PROTECCION CIVIL'!F17</f>
        <v>153.333333333333</v>
      </c>
      <c r="E392" s="19">
        <f ca="1">'1RA PROTECCION CIVIL'!G17</f>
        <v>4</v>
      </c>
      <c r="F392" s="19">
        <f ca="1">'1RA PROTECCION CIVIL'!H17</f>
        <v>5</v>
      </c>
      <c r="G392" s="19">
        <f ca="1">'1RA PROTECCION CIVIL'!I17</f>
        <v>0</v>
      </c>
      <c r="H392" s="19">
        <f ca="1">'1RA PROTECCION CIVIL'!J17</f>
        <v>5</v>
      </c>
      <c r="I392" s="19">
        <f ca="1">'1RA PROTECCION CIVIL'!K17</f>
        <v>4</v>
      </c>
      <c r="J392" s="19">
        <f ca="1">'1RA PROTECCION CIVIL'!L17</f>
        <v>9</v>
      </c>
      <c r="K392" s="19">
        <f ca="1">'1RA PROTECCION CIVIL'!M17</f>
        <v>6</v>
      </c>
      <c r="L392" s="19">
        <f ca="1">'1RA PROTECCION CIVIL'!N17</f>
        <v>3</v>
      </c>
      <c r="M392" s="19">
        <f ca="1">'1RA PROTECCION CIVIL'!O17</f>
        <v>10</v>
      </c>
      <c r="N392" s="19">
        <f ca="1">'1RA PROTECCION CIVIL'!P17</f>
        <v>0</v>
      </c>
      <c r="O392" s="19">
        <f ca="1">'1RA PROTECCION CIVIL'!Q17</f>
        <v>0</v>
      </c>
      <c r="P392" s="19">
        <f ca="1">'1RA PROTECCION CIVIL'!R17</f>
        <v>0</v>
      </c>
      <c r="Q392" s="21">
        <f ca="1">'1RA PROTECCION CIVIL'!S17</f>
        <v>46</v>
      </c>
    </row>
    <row r="393" spans="1:17" ht="39.75" customHeight="1" thickTop="1" thickBot="1">
      <c r="A393" s="53"/>
      <c r="B393" s="53"/>
      <c r="C393" s="27" t="s">
        <v>479</v>
      </c>
      <c r="D393" s="18">
        <f ca="1">'1RA PROTECCION CIVIL'!F18</f>
        <v>57.999999999999901</v>
      </c>
      <c r="E393" s="19">
        <f ca="1">'1RA PROTECCION CIVIL'!G18</f>
        <v>2</v>
      </c>
      <c r="F393" s="19">
        <f ca="1">'1RA PROTECCION CIVIL'!H18</f>
        <v>4</v>
      </c>
      <c r="G393" s="19">
        <f ca="1">'1RA PROTECCION CIVIL'!I18</f>
        <v>0</v>
      </c>
      <c r="H393" s="19">
        <f ca="1">'1RA PROTECCION CIVIL'!J18</f>
        <v>6</v>
      </c>
      <c r="I393" s="19">
        <f ca="1">'1RA PROTECCION CIVIL'!K18</f>
        <v>0</v>
      </c>
      <c r="J393" s="19">
        <f ca="1">'1RA PROTECCION CIVIL'!L18</f>
        <v>6</v>
      </c>
      <c r="K393" s="19">
        <f ca="1">'1RA PROTECCION CIVIL'!M18</f>
        <v>5</v>
      </c>
      <c r="L393" s="19">
        <f ca="1">'1RA PROTECCION CIVIL'!N18</f>
        <v>1</v>
      </c>
      <c r="M393" s="19">
        <f ca="1">'1RA PROTECCION CIVIL'!O18</f>
        <v>5</v>
      </c>
      <c r="N393" s="19">
        <f ca="1">'1RA PROTECCION CIVIL'!P18</f>
        <v>0</v>
      </c>
      <c r="O393" s="19">
        <f ca="1">'1RA PROTECCION CIVIL'!Q18</f>
        <v>0</v>
      </c>
      <c r="P393" s="19">
        <f ca="1">'1RA PROTECCION CIVIL'!R18</f>
        <v>0</v>
      </c>
      <c r="Q393" s="21">
        <f ca="1">'1RA PROTECCION CIVIL'!S18</f>
        <v>29</v>
      </c>
    </row>
    <row r="394" spans="1:17" ht="39.75" customHeight="1" thickTop="1" thickBot="1">
      <c r="A394" s="53"/>
      <c r="B394" s="53"/>
      <c r="C394" s="27" t="s">
        <v>480</v>
      </c>
      <c r="D394" s="18">
        <f ca="1">'1RA PROTECCION CIVIL'!F19</f>
        <v>0</v>
      </c>
      <c r="E394" s="19">
        <f ca="1">'1RA PROTECCION CIVIL'!G19</f>
        <v>0</v>
      </c>
      <c r="F394" s="19">
        <f ca="1">'1RA PROTECCION CIVIL'!H19</f>
        <v>0</v>
      </c>
      <c r="G394" s="19">
        <f ca="1">'1RA PROTECCION CIVIL'!I19</f>
        <v>0</v>
      </c>
      <c r="H394" s="19">
        <f ca="1">'1RA PROTECCION CIVIL'!J19</f>
        <v>0</v>
      </c>
      <c r="I394" s="19">
        <f ca="1">'1RA PROTECCION CIVIL'!K19</f>
        <v>0</v>
      </c>
      <c r="J394" s="19">
        <f ca="1">'1RA PROTECCION CIVIL'!L19</f>
        <v>0</v>
      </c>
      <c r="K394" s="19">
        <f ca="1">'1RA PROTECCION CIVIL'!M19</f>
        <v>0</v>
      </c>
      <c r="L394" s="19">
        <f ca="1">'1RA PROTECCION CIVIL'!N19</f>
        <v>0</v>
      </c>
      <c r="M394" s="19">
        <f ca="1">'1RA PROTECCION CIVIL'!O19</f>
        <v>0</v>
      </c>
      <c r="N394" s="19">
        <f ca="1">'1RA PROTECCION CIVIL'!P19</f>
        <v>0</v>
      </c>
      <c r="O394" s="19">
        <f ca="1">'1RA PROTECCION CIVIL'!Q19</f>
        <v>0</v>
      </c>
      <c r="P394" s="19">
        <f ca="1">'1RA PROTECCION CIVIL'!R19</f>
        <v>0</v>
      </c>
      <c r="Q394" s="21">
        <f ca="1">'1RA PROTECCION CIVIL'!S19</f>
        <v>0</v>
      </c>
    </row>
    <row r="395" spans="1:17" ht="39.75" customHeight="1" thickTop="1" thickBot="1">
      <c r="A395" s="53"/>
      <c r="B395" s="53"/>
      <c r="C395" s="27" t="s">
        <v>481</v>
      </c>
      <c r="D395" s="18">
        <f ca="1">'1RA PROTECCION CIVIL'!F20</f>
        <v>0</v>
      </c>
      <c r="E395" s="19">
        <f ca="1">'1RA PROTECCION CIVIL'!G20</f>
        <v>0</v>
      </c>
      <c r="F395" s="19">
        <f ca="1">'1RA PROTECCION CIVIL'!H20</f>
        <v>0</v>
      </c>
      <c r="G395" s="19">
        <f ca="1">'1RA PROTECCION CIVIL'!I20</f>
        <v>0</v>
      </c>
      <c r="H395" s="19">
        <f ca="1">'1RA PROTECCION CIVIL'!J20</f>
        <v>0</v>
      </c>
      <c r="I395" s="19">
        <f ca="1">'1RA PROTECCION CIVIL'!K20</f>
        <v>0</v>
      </c>
      <c r="J395" s="19">
        <f ca="1">'1RA PROTECCION CIVIL'!L20</f>
        <v>0</v>
      </c>
      <c r="K395" s="19">
        <f ca="1">'1RA PROTECCION CIVIL'!M20</f>
        <v>0</v>
      </c>
      <c r="L395" s="19">
        <f ca="1">'1RA PROTECCION CIVIL'!N20</f>
        <v>0</v>
      </c>
      <c r="M395" s="19">
        <f ca="1">'1RA PROTECCION CIVIL'!O20</f>
        <v>0</v>
      </c>
      <c r="N395" s="19">
        <f ca="1">'1RA PROTECCION CIVIL'!P20</f>
        <v>0</v>
      </c>
      <c r="O395" s="19">
        <f ca="1">'1RA PROTECCION CIVIL'!Q20</f>
        <v>0</v>
      </c>
      <c r="P395" s="19">
        <f ca="1">'1RA PROTECCION CIVIL'!R20</f>
        <v>0</v>
      </c>
      <c r="Q395" s="21">
        <f ca="1">'1RA PROTECCION CIVIL'!S20</f>
        <v>0</v>
      </c>
    </row>
    <row r="396" spans="1:17" ht="39.75" customHeight="1" thickTop="1" thickBot="1">
      <c r="A396" s="53"/>
      <c r="B396" s="53"/>
      <c r="C396" s="27" t="s">
        <v>482</v>
      </c>
      <c r="D396" s="18">
        <f ca="1">'1RA PROTECCION CIVIL'!F21</f>
        <v>461.33333333333297</v>
      </c>
      <c r="E396" s="19">
        <f ca="1">'1RA PROTECCION CIVIL'!G21</f>
        <v>153</v>
      </c>
      <c r="F396" s="19">
        <f ca="1">'1RA PROTECCION CIVIL'!H21</f>
        <v>193</v>
      </c>
      <c r="G396" s="19">
        <f ca="1">'1RA PROTECCION CIVIL'!I21</f>
        <v>0</v>
      </c>
      <c r="H396" s="19">
        <f ca="1">'1RA PROTECCION CIVIL'!J21</f>
        <v>0</v>
      </c>
      <c r="I396" s="19">
        <f ca="1">'1RA PROTECCION CIVIL'!K21</f>
        <v>0</v>
      </c>
      <c r="J396" s="19">
        <f ca="1">'1RA PROTECCION CIVIL'!L21</f>
        <v>0</v>
      </c>
      <c r="K396" s="19">
        <f ca="1">'1RA PROTECCION CIVIL'!M21</f>
        <v>0</v>
      </c>
      <c r="L396" s="19">
        <f ca="1">'1RA PROTECCION CIVIL'!N21</f>
        <v>0</v>
      </c>
      <c r="M396" s="19">
        <f ca="1">'1RA PROTECCION CIVIL'!O21</f>
        <v>0</v>
      </c>
      <c r="N396" s="19">
        <f ca="1">'1RA PROTECCION CIVIL'!P21</f>
        <v>0</v>
      </c>
      <c r="O396" s="19">
        <f ca="1">'1RA PROTECCION CIVIL'!Q21</f>
        <v>0</v>
      </c>
      <c r="P396" s="19">
        <f ca="1">'1RA PROTECCION CIVIL'!R21</f>
        <v>0</v>
      </c>
      <c r="Q396" s="21">
        <f ca="1">'1RA PROTECCION CIVIL'!S21</f>
        <v>346</v>
      </c>
    </row>
    <row r="397" spans="1:17" ht="39.75" customHeight="1" thickTop="1" thickBot="1">
      <c r="A397" s="53"/>
      <c r="B397" s="53"/>
      <c r="C397" s="27" t="s">
        <v>483</v>
      </c>
      <c r="D397" s="18">
        <f ca="1">'1RA PROTECCION CIVIL'!F22</f>
        <v>0</v>
      </c>
      <c r="E397" s="19">
        <f ca="1">'1RA PROTECCION CIVIL'!G22</f>
        <v>0</v>
      </c>
      <c r="F397" s="19">
        <f ca="1">'1RA PROTECCION CIVIL'!H22</f>
        <v>0</v>
      </c>
      <c r="G397" s="19">
        <f ca="1">'1RA PROTECCION CIVIL'!I22</f>
        <v>0</v>
      </c>
      <c r="H397" s="19">
        <f ca="1">'1RA PROTECCION CIVIL'!J22</f>
        <v>0</v>
      </c>
      <c r="I397" s="19">
        <f ca="1">'1RA PROTECCION CIVIL'!K22</f>
        <v>0</v>
      </c>
      <c r="J397" s="19">
        <f ca="1">'1RA PROTECCION CIVIL'!L22</f>
        <v>0</v>
      </c>
      <c r="K397" s="19">
        <f ca="1">'1RA PROTECCION CIVIL'!M22</f>
        <v>0</v>
      </c>
      <c r="L397" s="19">
        <f ca="1">'1RA PROTECCION CIVIL'!N22</f>
        <v>0</v>
      </c>
      <c r="M397" s="19">
        <f ca="1">'1RA PROTECCION CIVIL'!O22</f>
        <v>0</v>
      </c>
      <c r="N397" s="19">
        <f ca="1">'1RA PROTECCION CIVIL'!P22</f>
        <v>0</v>
      </c>
      <c r="O397" s="19">
        <f ca="1">'1RA PROTECCION CIVIL'!Q22</f>
        <v>0</v>
      </c>
      <c r="P397" s="19">
        <f ca="1">'1RA PROTECCION CIVIL'!R22</f>
        <v>0</v>
      </c>
      <c r="Q397" s="21">
        <f ca="1">'1RA PROTECCION CIVIL'!S22</f>
        <v>0</v>
      </c>
    </row>
    <row r="398" spans="1:17" ht="39.75" customHeight="1" thickTop="1" thickBot="1">
      <c r="A398" s="53"/>
      <c r="B398" s="53"/>
      <c r="C398" s="27" t="s">
        <v>484</v>
      </c>
      <c r="D398" s="18">
        <f ca="1">'1RA PROTECCION CIVIL'!F23</f>
        <v>0</v>
      </c>
      <c r="E398" s="19">
        <f ca="1">'1RA PROTECCION CIVIL'!G23</f>
        <v>0</v>
      </c>
      <c r="F398" s="19">
        <f ca="1">'1RA PROTECCION CIVIL'!H23</f>
        <v>0</v>
      </c>
      <c r="G398" s="19">
        <f ca="1">'1RA PROTECCION CIVIL'!I23</f>
        <v>0</v>
      </c>
      <c r="H398" s="19">
        <f ca="1">'1RA PROTECCION CIVIL'!J23</f>
        <v>0</v>
      </c>
      <c r="I398" s="19">
        <f ca="1">'1RA PROTECCION CIVIL'!K23</f>
        <v>0</v>
      </c>
      <c r="J398" s="19">
        <f ca="1">'1RA PROTECCION CIVIL'!L23</f>
        <v>0</v>
      </c>
      <c r="K398" s="19">
        <f ca="1">'1RA PROTECCION CIVIL'!M23</f>
        <v>0</v>
      </c>
      <c r="L398" s="19">
        <f ca="1">'1RA PROTECCION CIVIL'!N23</f>
        <v>0</v>
      </c>
      <c r="M398" s="19">
        <f ca="1">'1RA PROTECCION CIVIL'!O23</f>
        <v>0</v>
      </c>
      <c r="N398" s="19">
        <f ca="1">'1RA PROTECCION CIVIL'!P23</f>
        <v>0</v>
      </c>
      <c r="O398" s="19">
        <f ca="1">'1RA PROTECCION CIVIL'!Q23</f>
        <v>0</v>
      </c>
      <c r="P398" s="19">
        <f ca="1">'1RA PROTECCION CIVIL'!R23</f>
        <v>0</v>
      </c>
      <c r="Q398" s="21">
        <f ca="1">'1RA PROTECCION CIVIL'!S23</f>
        <v>0</v>
      </c>
    </row>
    <row r="399" spans="1:17" ht="39.75" customHeight="1" thickTop="1" thickBot="1">
      <c r="A399" s="53"/>
      <c r="B399" s="53"/>
      <c r="C399" s="27" t="s">
        <v>485</v>
      </c>
      <c r="D399" s="18">
        <f ca="1">'1RA PROTECCION CIVIL'!F24</f>
        <v>0</v>
      </c>
      <c r="E399" s="19">
        <f ca="1">'1RA PROTECCION CIVIL'!G24</f>
        <v>0</v>
      </c>
      <c r="F399" s="19">
        <f ca="1">'1RA PROTECCION CIVIL'!H24</f>
        <v>0</v>
      </c>
      <c r="G399" s="19">
        <f ca="1">'1RA PROTECCION CIVIL'!I24</f>
        <v>0</v>
      </c>
      <c r="H399" s="19">
        <f ca="1">'1RA PROTECCION CIVIL'!J24</f>
        <v>0</v>
      </c>
      <c r="I399" s="19">
        <f ca="1">'1RA PROTECCION CIVIL'!K24</f>
        <v>0</v>
      </c>
      <c r="J399" s="19">
        <f ca="1">'1RA PROTECCION CIVIL'!L24</f>
        <v>0</v>
      </c>
      <c r="K399" s="19">
        <f ca="1">'1RA PROTECCION CIVIL'!M24</f>
        <v>0</v>
      </c>
      <c r="L399" s="19">
        <f ca="1">'1RA PROTECCION CIVIL'!N24</f>
        <v>0</v>
      </c>
      <c r="M399" s="19">
        <f ca="1">'1RA PROTECCION CIVIL'!O24</f>
        <v>0</v>
      </c>
      <c r="N399" s="19">
        <f ca="1">'1RA PROTECCION CIVIL'!P24</f>
        <v>0</v>
      </c>
      <c r="O399" s="19">
        <f ca="1">'1RA PROTECCION CIVIL'!Q24</f>
        <v>0</v>
      </c>
      <c r="P399" s="19">
        <f ca="1">'1RA PROTECCION CIVIL'!R24</f>
        <v>0</v>
      </c>
      <c r="Q399" s="21">
        <f ca="1">'1RA PROTECCION CIVIL'!S24</f>
        <v>0</v>
      </c>
    </row>
    <row r="400" spans="1:17" ht="39.75" customHeight="1" thickTop="1" thickBot="1">
      <c r="A400" s="53"/>
      <c r="B400" s="53"/>
      <c r="C400" s="27" t="s">
        <v>486</v>
      </c>
      <c r="D400" s="18">
        <f ca="1">'1RA PROTECCION CIVIL'!F25</f>
        <v>0</v>
      </c>
      <c r="E400" s="19">
        <f ca="1">'1RA PROTECCION CIVIL'!G25</f>
        <v>0</v>
      </c>
      <c r="F400" s="19">
        <f ca="1">'1RA PROTECCION CIVIL'!H25</f>
        <v>0</v>
      </c>
      <c r="G400" s="19">
        <f ca="1">'1RA PROTECCION CIVIL'!I25</f>
        <v>0</v>
      </c>
      <c r="H400" s="19">
        <f ca="1">'1RA PROTECCION CIVIL'!J25</f>
        <v>0</v>
      </c>
      <c r="I400" s="19">
        <f ca="1">'1RA PROTECCION CIVIL'!K25</f>
        <v>0</v>
      </c>
      <c r="J400" s="19">
        <f ca="1">'1RA PROTECCION CIVIL'!L25</f>
        <v>0</v>
      </c>
      <c r="K400" s="19">
        <f ca="1">'1RA PROTECCION CIVIL'!M25</f>
        <v>0</v>
      </c>
      <c r="L400" s="19">
        <f ca="1">'1RA PROTECCION CIVIL'!N25</f>
        <v>0</v>
      </c>
      <c r="M400" s="19">
        <f ca="1">'1RA PROTECCION CIVIL'!O25</f>
        <v>0</v>
      </c>
      <c r="N400" s="19">
        <f ca="1">'1RA PROTECCION CIVIL'!P25</f>
        <v>0</v>
      </c>
      <c r="O400" s="19">
        <f ca="1">'1RA PROTECCION CIVIL'!Q25</f>
        <v>0</v>
      </c>
      <c r="P400" s="19">
        <f ca="1">'1RA PROTECCION CIVIL'!R25</f>
        <v>0</v>
      </c>
      <c r="Q400" s="21">
        <f ca="1">'1RA PROTECCION CIVIL'!S25</f>
        <v>0</v>
      </c>
    </row>
    <row r="401" spans="1:17" ht="39.75" customHeight="1" thickTop="1" thickBot="1">
      <c r="A401" s="53"/>
      <c r="B401" s="53"/>
      <c r="C401" s="27" t="s">
        <v>487</v>
      </c>
      <c r="D401" s="18">
        <f ca="1">'1RA PROTECCION CIVIL'!F26</f>
        <v>188.2</v>
      </c>
      <c r="E401" s="19">
        <f ca="1">'1RA PROTECCION CIVIL'!G26</f>
        <v>22</v>
      </c>
      <c r="F401" s="19">
        <f ca="1">'1RA PROTECCION CIVIL'!H26</f>
        <v>61</v>
      </c>
      <c r="G401" s="19">
        <f ca="1">'1RA PROTECCION CIVIL'!I26</f>
        <v>0</v>
      </c>
      <c r="H401" s="19">
        <f ca="1">'1RA PROTECCION CIVIL'!J26</f>
        <v>124</v>
      </c>
      <c r="I401" s="19">
        <f ca="1">'1RA PROTECCION CIVIL'!K26</f>
        <v>127</v>
      </c>
      <c r="J401" s="19">
        <f ca="1">'1RA PROTECCION CIVIL'!L26</f>
        <v>178</v>
      </c>
      <c r="K401" s="19">
        <f ca="1">'1RA PROTECCION CIVIL'!M26</f>
        <v>124</v>
      </c>
      <c r="L401" s="19">
        <f ca="1">'1RA PROTECCION CIVIL'!N26</f>
        <v>127</v>
      </c>
      <c r="M401" s="19">
        <f ca="1">'1RA PROTECCION CIVIL'!O26</f>
        <v>178</v>
      </c>
      <c r="N401" s="19">
        <f ca="1">'1RA PROTECCION CIVIL'!P26</f>
        <v>0</v>
      </c>
      <c r="O401" s="19">
        <f ca="1">'1RA PROTECCION CIVIL'!Q26</f>
        <v>0</v>
      </c>
      <c r="P401" s="19">
        <f ca="1">'1RA PROTECCION CIVIL'!R26</f>
        <v>0</v>
      </c>
      <c r="Q401" s="21">
        <f ca="1">'1RA PROTECCION CIVIL'!S26</f>
        <v>941</v>
      </c>
    </row>
    <row r="402" spans="1:17" ht="39.75" hidden="1" customHeight="1">
      <c r="A402" s="51"/>
      <c r="B402" s="51"/>
      <c r="C402" s="22"/>
      <c r="D402" s="18">
        <f>'1RA PROTECCION CIVIL'!F32</f>
        <v>0</v>
      </c>
      <c r="E402" s="17">
        <f>'1RA PROTECCION CIVIL'!G32</f>
        <v>0</v>
      </c>
      <c r="F402" s="17">
        <f>'1RA PROTECCION CIVIL'!H32</f>
        <v>0</v>
      </c>
      <c r="G402" s="17">
        <f>'1RA PROTECCION CIVIL'!I32</f>
        <v>0</v>
      </c>
      <c r="H402" s="17">
        <f>'1RA PROTECCION CIVIL'!J32</f>
        <v>0</v>
      </c>
      <c r="I402" s="17">
        <f>'1RA PROTECCION CIVIL'!K32</f>
        <v>0</v>
      </c>
      <c r="J402" s="17">
        <f>'1RA PROTECCION CIVIL'!L32</f>
        <v>0</v>
      </c>
      <c r="K402" s="17">
        <f>'1RA PROTECCION CIVIL'!M32</f>
        <v>0</v>
      </c>
      <c r="L402" s="17">
        <f>'1RA PROTECCION CIVIL'!N32</f>
        <v>0</v>
      </c>
      <c r="M402" s="17">
        <f>'1RA PROTECCION CIVIL'!O32</f>
        <v>0</v>
      </c>
      <c r="N402" s="17">
        <f>'1RA PROTECCION CIVIL'!P32</f>
        <v>0</v>
      </c>
      <c r="O402" s="17">
        <f>'1RA PROTECCION CIVIL'!Q32</f>
        <v>0</v>
      </c>
      <c r="P402" s="17">
        <f>'1RA PROTECCION CIVIL'!R32</f>
        <v>0</v>
      </c>
      <c r="Q402" s="17">
        <f>'1RA PROTECCION CIVIL'!S32</f>
        <v>0</v>
      </c>
    </row>
    <row r="403" spans="1:17" ht="15" customHeight="1" thickTop="1"/>
  </sheetData>
  <mergeCells count="71">
    <mergeCell ref="B119:B130"/>
    <mergeCell ref="B259:B264"/>
    <mergeCell ref="B265:B275"/>
    <mergeCell ref="B276:B283"/>
    <mergeCell ref="B284:B286"/>
    <mergeCell ref="B131:B150"/>
    <mergeCell ref="B151:B188"/>
    <mergeCell ref="B189:B196"/>
    <mergeCell ref="B198:B205"/>
    <mergeCell ref="B206:B207"/>
    <mergeCell ref="B208:B210"/>
    <mergeCell ref="B211:B218"/>
    <mergeCell ref="B78:B85"/>
    <mergeCell ref="B86:B90"/>
    <mergeCell ref="B91:B95"/>
    <mergeCell ref="B96:B99"/>
    <mergeCell ref="B100:B118"/>
    <mergeCell ref="A14:A21"/>
    <mergeCell ref="B14:B15"/>
    <mergeCell ref="B17:B18"/>
    <mergeCell ref="B19:B21"/>
    <mergeCell ref="B30:B36"/>
    <mergeCell ref="A78:A95"/>
    <mergeCell ref="A96:A188"/>
    <mergeCell ref="A189:A205"/>
    <mergeCell ref="A206:A234"/>
    <mergeCell ref="A235:A320"/>
    <mergeCell ref="B22:B24"/>
    <mergeCell ref="B25:B29"/>
    <mergeCell ref="A22:A36"/>
    <mergeCell ref="A37:A52"/>
    <mergeCell ref="A53:A77"/>
    <mergeCell ref="B37:B41"/>
    <mergeCell ref="B42:B44"/>
    <mergeCell ref="B45:B49"/>
    <mergeCell ref="B50:B52"/>
    <mergeCell ref="B53:B56"/>
    <mergeCell ref="B57:B62"/>
    <mergeCell ref="B63:B66"/>
    <mergeCell ref="B68:B77"/>
    <mergeCell ref="A1:D1"/>
    <mergeCell ref="E1:K1"/>
    <mergeCell ref="L1:Q1"/>
    <mergeCell ref="A3:A13"/>
    <mergeCell ref="B3:B4"/>
    <mergeCell ref="B5:B6"/>
    <mergeCell ref="B7:B8"/>
    <mergeCell ref="B9:B11"/>
    <mergeCell ref="B12:B13"/>
    <mergeCell ref="A359:A376"/>
    <mergeCell ref="A377:A402"/>
    <mergeCell ref="B233:B234"/>
    <mergeCell ref="B235:B258"/>
    <mergeCell ref="A321:A358"/>
    <mergeCell ref="B321:B354"/>
    <mergeCell ref="B355:B358"/>
    <mergeCell ref="B359:B361"/>
    <mergeCell ref="B369:B376"/>
    <mergeCell ref="B287:B297"/>
    <mergeCell ref="B298:B315"/>
    <mergeCell ref="B316:B320"/>
    <mergeCell ref="B229:B230"/>
    <mergeCell ref="B231:B232"/>
    <mergeCell ref="B362:B364"/>
    <mergeCell ref="B365:B368"/>
    <mergeCell ref="B377:B402"/>
    <mergeCell ref="B219:B220"/>
    <mergeCell ref="B221:B222"/>
    <mergeCell ref="B223:B224"/>
    <mergeCell ref="B225:B226"/>
    <mergeCell ref="B227:B228"/>
  </mergeCells>
  <conditionalFormatting sqref="D3:D401">
    <cfRule type="cellIs" dxfId="11" priority="1" operator="greaterThan">
      <formula>70</formula>
    </cfRule>
  </conditionalFormatting>
  <conditionalFormatting sqref="D3:D401">
    <cfRule type="cellIs" dxfId="10" priority="2" operator="between">
      <formula>40</formula>
      <formula>79</formula>
    </cfRule>
  </conditionalFormatting>
  <conditionalFormatting sqref="D3:D401">
    <cfRule type="cellIs" dxfId="9" priority="3" operator="between">
      <formula>0.01</formula>
      <formula>39.99</formula>
    </cfRule>
  </conditionalFormatting>
  <conditionalFormatting sqref="D3:D401">
    <cfRule type="cellIs" dxfId="8" priority="4" operator="equal">
      <formula>0</formula>
    </cfRule>
  </conditionalFormatting>
  <conditionalFormatting sqref="E3:P401">
    <cfRule type="cellIs" dxfId="7" priority="5" operator="equal">
      <formula>0</formula>
    </cfRule>
  </conditionalFormatting>
  <conditionalFormatting sqref="E3:P401">
    <cfRule type="cellIs" dxfId="6" priority="6" operator="greaterThan">
      <formula>0</formula>
    </cfRule>
  </conditionalFormatting>
  <pageMargins left="0.25" right="0.25" top="0.75" bottom="0.75" header="0" footer="0"/>
  <pageSetup paperSize="5" scale="51" fitToHeight="0" orientation="landscape"/>
  <rowBreaks count="18" manualBreakCount="18">
    <brk id="21" max="16" man="1"/>
    <brk id="36" max="16" man="1"/>
    <brk id="52" max="16" man="1"/>
    <brk id="77" max="16383" man="1"/>
    <brk id="95" max="16383" man="1"/>
    <brk id="118" max="16" man="1"/>
    <brk id="144" max="16" man="1"/>
    <brk id="167" max="16" man="1"/>
    <brk id="188" max="16" man="1"/>
    <brk id="205" max="16" man="1"/>
    <brk id="231" max="16" man="1"/>
    <brk id="257" max="16" man="1"/>
    <brk id="275" max="16" man="1"/>
    <brk id="290" max="16" man="1"/>
    <brk id="315" max="16" man="1"/>
    <brk id="341" max="16" man="1"/>
    <brk id="367" max="16" man="1"/>
    <brk id="39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140"/>
  <sheetViews>
    <sheetView workbookViewId="0"/>
  </sheetViews>
  <sheetFormatPr baseColWidth="10" defaultColWidth="11.1640625" defaultRowHeight="15" customHeight="1"/>
  <sheetData>
    <row r="1" spans="1:1">
      <c r="A1" s="41">
        <v>100</v>
      </c>
    </row>
    <row r="2" spans="1:1">
      <c r="A2" s="41">
        <v>100</v>
      </c>
    </row>
    <row r="3" spans="1:1">
      <c r="A3" s="41">
        <v>100</v>
      </c>
    </row>
    <row r="4" spans="1:1">
      <c r="A4" s="41">
        <v>100</v>
      </c>
    </row>
    <row r="5" spans="1:1">
      <c r="A5" s="41">
        <v>100</v>
      </c>
    </row>
    <row r="6" spans="1:1">
      <c r="A6" s="41">
        <v>100</v>
      </c>
    </row>
    <row r="7" spans="1:1">
      <c r="A7" s="41">
        <v>100</v>
      </c>
    </row>
    <row r="8" spans="1:1">
      <c r="A8" s="41">
        <v>100</v>
      </c>
    </row>
    <row r="9" spans="1:1">
      <c r="A9" s="41">
        <v>100</v>
      </c>
    </row>
    <row r="10" spans="1:1">
      <c r="A10" s="41">
        <v>100</v>
      </c>
    </row>
    <row r="11" spans="1:1">
      <c r="A11" s="41">
        <v>100</v>
      </c>
    </row>
    <row r="12" spans="1:1">
      <c r="A12" s="41">
        <v>100</v>
      </c>
    </row>
    <row r="13" spans="1:1">
      <c r="A13" s="41">
        <v>100</v>
      </c>
    </row>
    <row r="14" spans="1:1">
      <c r="A14" s="41">
        <v>100</v>
      </c>
    </row>
    <row r="15" spans="1:1">
      <c r="A15" s="41">
        <v>100</v>
      </c>
    </row>
    <row r="16" spans="1:1">
      <c r="A16" s="41">
        <v>100</v>
      </c>
    </row>
    <row r="17" spans="1:1">
      <c r="A17" s="41">
        <v>100</v>
      </c>
    </row>
    <row r="18" spans="1:1">
      <c r="A18" s="41">
        <v>100</v>
      </c>
    </row>
    <row r="19" spans="1:1">
      <c r="A19" s="41">
        <v>100</v>
      </c>
    </row>
    <row r="20" spans="1:1">
      <c r="A20" s="41">
        <v>100</v>
      </c>
    </row>
    <row r="21" spans="1:1">
      <c r="A21" s="41">
        <v>100</v>
      </c>
    </row>
    <row r="22" spans="1:1">
      <c r="A22" s="41">
        <v>100</v>
      </c>
    </row>
    <row r="23" spans="1:1">
      <c r="A23" s="41">
        <v>100</v>
      </c>
    </row>
    <row r="24" spans="1:1">
      <c r="A24" s="41">
        <v>100</v>
      </c>
    </row>
    <row r="25" spans="1:1">
      <c r="A25" s="41">
        <v>100</v>
      </c>
    </row>
    <row r="26" spans="1:1">
      <c r="A26" s="41">
        <v>100</v>
      </c>
    </row>
    <row r="27" spans="1:1">
      <c r="A27" s="41">
        <v>100</v>
      </c>
    </row>
    <row r="28" spans="1:1">
      <c r="A28" s="41">
        <v>100</v>
      </c>
    </row>
    <row r="29" spans="1:1">
      <c r="A29" s="41">
        <v>100</v>
      </c>
    </row>
    <row r="30" spans="1:1">
      <c r="A30" s="41">
        <v>100</v>
      </c>
    </row>
    <row r="31" spans="1:1">
      <c r="A31" s="41">
        <v>100</v>
      </c>
    </row>
    <row r="32" spans="1:1">
      <c r="A32" s="41">
        <v>100</v>
      </c>
    </row>
    <row r="33" spans="1:1">
      <c r="A33" s="41">
        <v>100</v>
      </c>
    </row>
    <row r="34" spans="1:1">
      <c r="A34" s="41">
        <v>100</v>
      </c>
    </row>
    <row r="35" spans="1:1">
      <c r="A35" s="41">
        <v>100</v>
      </c>
    </row>
    <row r="36" spans="1:1">
      <c r="A36" s="41">
        <v>100</v>
      </c>
    </row>
    <row r="37" spans="1:1">
      <c r="A37" s="41">
        <v>100</v>
      </c>
    </row>
    <row r="38" spans="1:1">
      <c r="A38" s="41">
        <v>100</v>
      </c>
    </row>
    <row r="39" spans="1:1">
      <c r="A39" s="41">
        <v>100</v>
      </c>
    </row>
    <row r="40" spans="1:1">
      <c r="A40" s="41">
        <v>100</v>
      </c>
    </row>
    <row r="41" spans="1:1">
      <c r="A41" s="41">
        <v>100</v>
      </c>
    </row>
    <row r="42" spans="1:1">
      <c r="A42" s="41">
        <v>100</v>
      </c>
    </row>
    <row r="43" spans="1:1">
      <c r="A43" s="41">
        <v>100</v>
      </c>
    </row>
    <row r="44" spans="1:1">
      <c r="A44" s="41">
        <v>100</v>
      </c>
    </row>
    <row r="45" spans="1:1">
      <c r="A45" s="41">
        <v>100</v>
      </c>
    </row>
    <row r="46" spans="1:1">
      <c r="A46" s="41">
        <v>100</v>
      </c>
    </row>
    <row r="47" spans="1:1">
      <c r="A47" s="41">
        <v>100</v>
      </c>
    </row>
    <row r="48" spans="1:1">
      <c r="A48" s="41">
        <v>100</v>
      </c>
    </row>
    <row r="49" spans="1:1">
      <c r="A49" s="41">
        <v>100</v>
      </c>
    </row>
    <row r="50" spans="1:1">
      <c r="A50" s="41">
        <v>100</v>
      </c>
    </row>
    <row r="51" spans="1:1">
      <c r="A51" s="41">
        <v>100</v>
      </c>
    </row>
    <row r="52" spans="1:1">
      <c r="A52" s="41">
        <v>100</v>
      </c>
    </row>
    <row r="53" spans="1:1">
      <c r="A53" s="41">
        <v>100</v>
      </c>
    </row>
    <row r="54" spans="1:1">
      <c r="A54" s="41">
        <v>100</v>
      </c>
    </row>
    <row r="55" spans="1:1">
      <c r="A55" s="41">
        <v>100</v>
      </c>
    </row>
    <row r="56" spans="1:1">
      <c r="A56" s="41">
        <v>100</v>
      </c>
    </row>
    <row r="57" spans="1:1">
      <c r="A57" s="41">
        <v>100</v>
      </c>
    </row>
    <row r="58" spans="1:1">
      <c r="A58" s="41">
        <v>100</v>
      </c>
    </row>
    <row r="59" spans="1:1">
      <c r="A59" s="41">
        <v>100</v>
      </c>
    </row>
    <row r="60" spans="1:1">
      <c r="A60" s="41">
        <v>100</v>
      </c>
    </row>
    <row r="61" spans="1:1">
      <c r="A61" s="41">
        <v>100</v>
      </c>
    </row>
    <row r="62" spans="1:1">
      <c r="A62" s="41">
        <v>100</v>
      </c>
    </row>
    <row r="63" spans="1:1">
      <c r="A63" s="41">
        <v>100</v>
      </c>
    </row>
    <row r="64" spans="1:1">
      <c r="A64" s="41">
        <v>100</v>
      </c>
    </row>
    <row r="65" spans="1:1">
      <c r="A65" s="41">
        <v>100</v>
      </c>
    </row>
    <row r="66" spans="1:1">
      <c r="A66" s="41">
        <v>100</v>
      </c>
    </row>
    <row r="67" spans="1:1">
      <c r="A67" s="41">
        <v>100</v>
      </c>
    </row>
    <row r="68" spans="1:1">
      <c r="A68" s="41">
        <v>100</v>
      </c>
    </row>
    <row r="69" spans="1:1">
      <c r="A69" s="41">
        <v>100</v>
      </c>
    </row>
    <row r="70" spans="1:1">
      <c r="A70" s="41">
        <v>100</v>
      </c>
    </row>
    <row r="71" spans="1:1">
      <c r="A71" s="41">
        <v>100</v>
      </c>
    </row>
    <row r="72" spans="1:1">
      <c r="A72" s="41">
        <v>100</v>
      </c>
    </row>
    <row r="73" spans="1:1">
      <c r="A73" s="41">
        <v>100</v>
      </c>
    </row>
    <row r="74" spans="1:1">
      <c r="A74" s="41">
        <v>100</v>
      </c>
    </row>
    <row r="75" spans="1:1">
      <c r="A75" s="41">
        <v>100</v>
      </c>
    </row>
    <row r="76" spans="1:1">
      <c r="A76" s="41">
        <v>100</v>
      </c>
    </row>
    <row r="77" spans="1:1">
      <c r="A77" s="41">
        <v>100</v>
      </c>
    </row>
    <row r="78" spans="1:1">
      <c r="A78" s="41">
        <v>100</v>
      </c>
    </row>
    <row r="79" spans="1:1">
      <c r="A79" s="41">
        <v>100</v>
      </c>
    </row>
    <row r="80" spans="1:1">
      <c r="A80" s="41">
        <v>100</v>
      </c>
    </row>
    <row r="81" spans="1:1">
      <c r="A81" s="41">
        <v>100</v>
      </c>
    </row>
    <row r="82" spans="1:1">
      <c r="A82" s="41">
        <v>100</v>
      </c>
    </row>
    <row r="83" spans="1:1">
      <c r="A83" s="41">
        <v>100</v>
      </c>
    </row>
    <row r="84" spans="1:1">
      <c r="A84" s="41">
        <v>100</v>
      </c>
    </row>
    <row r="85" spans="1:1">
      <c r="A85" s="41">
        <v>100</v>
      </c>
    </row>
    <row r="86" spans="1:1">
      <c r="A86" s="41">
        <v>100</v>
      </c>
    </row>
    <row r="87" spans="1:1">
      <c r="A87" s="41">
        <v>100</v>
      </c>
    </row>
    <row r="88" spans="1:1">
      <c r="A88" s="41">
        <v>100</v>
      </c>
    </row>
    <row r="89" spans="1:1">
      <c r="A89" s="41">
        <v>100</v>
      </c>
    </row>
    <row r="90" spans="1:1">
      <c r="A90" s="41">
        <v>100</v>
      </c>
    </row>
    <row r="91" spans="1:1">
      <c r="A91" s="41">
        <v>100</v>
      </c>
    </row>
    <row r="92" spans="1:1">
      <c r="A92" s="41">
        <v>100</v>
      </c>
    </row>
    <row r="93" spans="1:1">
      <c r="A93" s="41">
        <v>100</v>
      </c>
    </row>
    <row r="94" spans="1:1">
      <c r="A94" s="41">
        <v>100</v>
      </c>
    </row>
    <row r="95" spans="1:1">
      <c r="A95" s="41">
        <v>100</v>
      </c>
    </row>
    <row r="96" spans="1:1">
      <c r="A96" s="41">
        <v>100</v>
      </c>
    </row>
    <row r="97" spans="1:1">
      <c r="A97" s="41">
        <v>100</v>
      </c>
    </row>
    <row r="98" spans="1:1">
      <c r="A98" s="41">
        <v>100</v>
      </c>
    </row>
    <row r="99" spans="1:1">
      <c r="A99" s="41">
        <v>100</v>
      </c>
    </row>
    <row r="100" spans="1:1">
      <c r="A100" s="41">
        <v>100</v>
      </c>
    </row>
    <row r="101" spans="1:1">
      <c r="A101" s="41">
        <v>100</v>
      </c>
    </row>
    <row r="102" spans="1:1">
      <c r="A102" s="41">
        <v>100</v>
      </c>
    </row>
    <row r="103" spans="1:1">
      <c r="A103" s="41">
        <v>100</v>
      </c>
    </row>
    <row r="104" spans="1:1">
      <c r="A104" s="41">
        <v>100</v>
      </c>
    </row>
    <row r="105" spans="1:1">
      <c r="A105" s="41">
        <v>100</v>
      </c>
    </row>
    <row r="106" spans="1:1">
      <c r="A106" s="41">
        <v>100</v>
      </c>
    </row>
    <row r="107" spans="1:1">
      <c r="A107" s="41">
        <v>100</v>
      </c>
    </row>
    <row r="108" spans="1:1">
      <c r="A108" s="41">
        <v>100</v>
      </c>
    </row>
    <row r="109" spans="1:1">
      <c r="A109" s="41">
        <v>100</v>
      </c>
    </row>
    <row r="110" spans="1:1">
      <c r="A110" s="41">
        <v>100</v>
      </c>
    </row>
    <row r="111" spans="1:1">
      <c r="A111" s="41">
        <v>100</v>
      </c>
    </row>
    <row r="112" spans="1:1">
      <c r="A112" s="41">
        <v>100</v>
      </c>
    </row>
    <row r="113" spans="1:1">
      <c r="A113" s="41">
        <v>100</v>
      </c>
    </row>
    <row r="114" spans="1:1">
      <c r="A114" s="41">
        <v>100</v>
      </c>
    </row>
    <row r="115" spans="1:1">
      <c r="A115" s="41">
        <v>100</v>
      </c>
    </row>
    <row r="116" spans="1:1">
      <c r="A116" s="41">
        <v>100</v>
      </c>
    </row>
    <row r="117" spans="1:1">
      <c r="A117" s="41">
        <v>100</v>
      </c>
    </row>
    <row r="118" spans="1:1">
      <c r="A118" s="41">
        <v>100</v>
      </c>
    </row>
    <row r="119" spans="1:1">
      <c r="A119" s="41">
        <v>100</v>
      </c>
    </row>
    <row r="120" spans="1:1">
      <c r="A120" s="41">
        <v>100</v>
      </c>
    </row>
    <row r="121" spans="1:1">
      <c r="A121" s="41">
        <v>100</v>
      </c>
    </row>
    <row r="122" spans="1:1">
      <c r="A122" s="41">
        <v>100</v>
      </c>
    </row>
    <row r="123" spans="1:1">
      <c r="A123" s="41">
        <v>100</v>
      </c>
    </row>
    <row r="124" spans="1:1">
      <c r="A124" s="41">
        <v>100</v>
      </c>
    </row>
    <row r="125" spans="1:1">
      <c r="A125" s="41">
        <v>100</v>
      </c>
    </row>
    <row r="126" spans="1:1">
      <c r="A126" s="41">
        <v>100</v>
      </c>
    </row>
    <row r="127" spans="1:1">
      <c r="A127" s="41">
        <v>100</v>
      </c>
    </row>
    <row r="128" spans="1:1">
      <c r="A128" s="41">
        <v>100</v>
      </c>
    </row>
    <row r="129" spans="1:1">
      <c r="A129" s="41">
        <v>100</v>
      </c>
    </row>
    <row r="130" spans="1:1">
      <c r="A130" s="41">
        <v>100</v>
      </c>
    </row>
    <row r="131" spans="1:1">
      <c r="A131" s="41">
        <v>100</v>
      </c>
    </row>
    <row r="132" spans="1:1">
      <c r="A132" s="41">
        <v>100</v>
      </c>
    </row>
    <row r="133" spans="1:1">
      <c r="A133" s="41">
        <v>100</v>
      </c>
    </row>
    <row r="134" spans="1:1">
      <c r="A134" s="41">
        <v>100</v>
      </c>
    </row>
    <row r="135" spans="1:1">
      <c r="A135" s="41">
        <v>100</v>
      </c>
    </row>
    <row r="136" spans="1:1">
      <c r="A136" s="41">
        <v>100</v>
      </c>
    </row>
    <row r="137" spans="1:1">
      <c r="A137" s="41">
        <v>100</v>
      </c>
    </row>
    <row r="138" spans="1:1">
      <c r="A138" s="41">
        <v>100</v>
      </c>
    </row>
    <row r="139" spans="1:1">
      <c r="A139" s="41">
        <v>100</v>
      </c>
    </row>
    <row r="140" spans="1:1">
      <c r="A140" s="41">
        <v>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2"/>
  <sheetViews>
    <sheetView workbookViewId="0"/>
  </sheetViews>
  <sheetFormatPr baseColWidth="10" defaultColWidth="11.1640625" defaultRowHeight="15" customHeight="1"/>
  <cols>
    <col min="1" max="1" width="39.5" customWidth="1"/>
    <col min="2" max="2" width="16.1640625" customWidth="1"/>
    <col min="3" max="3" width="19.1640625" customWidth="1"/>
    <col min="4" max="4" width="28.1640625" customWidth="1"/>
    <col min="5" max="5" width="26" customWidth="1"/>
    <col min="6" max="6" width="11.1640625" customWidth="1"/>
    <col min="18" max="18" width="12.5" customWidth="1"/>
    <col min="19" max="19" width="16.1640625" customWidth="1"/>
  </cols>
  <sheetData>
    <row r="1" spans="1:19">
      <c r="A1" s="3" t="s">
        <v>5</v>
      </c>
      <c r="B1" s="3" t="s">
        <v>6</v>
      </c>
      <c r="C1" s="3" t="s">
        <v>7</v>
      </c>
      <c r="D1" s="2" t="s">
        <v>8</v>
      </c>
      <c r="E1" s="3" t="s">
        <v>9</v>
      </c>
      <c r="F1" s="3" t="s">
        <v>10</v>
      </c>
      <c r="G1" s="3" t="s">
        <v>11</v>
      </c>
      <c r="H1" s="5" t="s">
        <v>12</v>
      </c>
      <c r="I1" s="5" t="s">
        <v>13</v>
      </c>
      <c r="J1" s="6" t="s">
        <v>14</v>
      </c>
      <c r="K1" s="6" t="s">
        <v>15</v>
      </c>
      <c r="L1" s="6" t="s">
        <v>16</v>
      </c>
      <c r="M1" s="6" t="s">
        <v>17</v>
      </c>
      <c r="N1" s="6" t="s">
        <v>18</v>
      </c>
      <c r="O1" s="6" t="s">
        <v>19</v>
      </c>
      <c r="P1" s="6" t="s">
        <v>20</v>
      </c>
      <c r="Q1" s="6" t="s">
        <v>21</v>
      </c>
      <c r="R1" s="6" t="s">
        <v>22</v>
      </c>
      <c r="S1" s="2" t="s">
        <v>23</v>
      </c>
    </row>
    <row r="2" spans="1:19">
      <c r="A2" s="42" t="s">
        <v>25</v>
      </c>
      <c r="B2" s="10">
        <f>'PRESIDENCIA 24-25'!C3</f>
        <v>310</v>
      </c>
      <c r="C2" s="10" t="str">
        <f>'PRESIDENCIA 24-25'!D3</f>
        <v>CITA</v>
      </c>
      <c r="D2" s="10" t="str">
        <f>'PRESIDENCIA 24-25'!E3</f>
        <v>ASCENDENTE</v>
      </c>
      <c r="E2" s="10" t="str">
        <f>'PRESIDENCIA 24-25'!F3</f>
        <v>BITACORA DE ATENCION</v>
      </c>
      <c r="F2" s="33">
        <f ca="1">'PRESIDENCIA 24-25'!G3</f>
        <v>108.70967741935485</v>
      </c>
      <c r="G2" s="10">
        <f ca="1">'PRESIDENCIA 24-25'!H3</f>
        <v>20</v>
      </c>
      <c r="H2" s="10">
        <f ca="1">'PRESIDENCIA 24-25'!I3</f>
        <v>33</v>
      </c>
      <c r="I2" s="10">
        <f ca="1">'PRESIDENCIA 24-25'!J3</f>
        <v>27</v>
      </c>
      <c r="J2" s="10">
        <f ca="1">'PRESIDENCIA 24-25'!K3</f>
        <v>30</v>
      </c>
      <c r="K2" s="10">
        <f ca="1">'PRESIDENCIA 24-25'!L3</f>
        <v>22</v>
      </c>
      <c r="L2" s="10">
        <f ca="1">'PRESIDENCIA 24-25'!M3</f>
        <v>23</v>
      </c>
      <c r="M2" s="10">
        <f ca="1">'PRESIDENCIA 24-25'!N3</f>
        <v>17</v>
      </c>
      <c r="N2" s="10">
        <f ca="1">'PRESIDENCIA 24-25'!O3</f>
        <v>54</v>
      </c>
      <c r="O2" s="10">
        <f ca="1">'PRESIDENCIA 24-25'!P3</f>
        <v>19</v>
      </c>
      <c r="P2" s="10">
        <f ca="1">'PRESIDENCIA 24-25'!Q3</f>
        <v>33</v>
      </c>
      <c r="Q2" s="10">
        <f ca="1">'PRESIDENCIA 24-25'!R3</f>
        <v>31</v>
      </c>
      <c r="R2" s="10">
        <f ca="1">'PRESIDENCIA 24-25'!S3</f>
        <v>28</v>
      </c>
      <c r="S2" s="10">
        <f ca="1">'PRESIDENCIA 24-25'!T3</f>
        <v>337</v>
      </c>
    </row>
    <row r="3" spans="1:19">
      <c r="A3" s="42" t="s">
        <v>26</v>
      </c>
      <c r="B3" s="10">
        <f>'PRESIDENCIA 24-25'!C4</f>
        <v>890</v>
      </c>
      <c r="C3" s="10" t="str">
        <f>'PRESIDENCIA 24-25'!D4</f>
        <v>NÚM. DE PERSONAS</v>
      </c>
      <c r="D3" s="10" t="str">
        <f>'PRESIDENCIA 24-25'!E4</f>
        <v>ASCENDENTE</v>
      </c>
      <c r="E3" s="10" t="str">
        <f>'PRESIDENCIA 24-25'!F4</f>
        <v>BITACORA DE ATENCION</v>
      </c>
      <c r="F3" s="33">
        <f ca="1">'PRESIDENCIA 24-25'!G4</f>
        <v>103.37078651685394</v>
      </c>
      <c r="G3" s="10">
        <f ca="1">'PRESIDENCIA 24-25'!H4</f>
        <v>45</v>
      </c>
      <c r="H3" s="10">
        <f ca="1">'PRESIDENCIA 24-25'!I4</f>
        <v>80</v>
      </c>
      <c r="I3" s="10">
        <f ca="1">'PRESIDENCIA 24-25'!J4</f>
        <v>60</v>
      </c>
      <c r="J3" s="10">
        <f ca="1">'PRESIDENCIA 24-25'!K4</f>
        <v>50</v>
      </c>
      <c r="K3" s="10">
        <f ca="1">'PRESIDENCIA 24-25'!L4</f>
        <v>52</v>
      </c>
      <c r="L3" s="10">
        <f>'PRESIDENCIA 24-25'!M4</f>
        <v>42</v>
      </c>
      <c r="M3" s="10">
        <f ca="1">'PRESIDENCIA 24-25'!N4</f>
        <v>58</v>
      </c>
      <c r="N3" s="10">
        <f ca="1">'PRESIDENCIA 24-25'!O4</f>
        <v>201</v>
      </c>
      <c r="O3" s="10">
        <f ca="1">'PRESIDENCIA 24-25'!P4</f>
        <v>38</v>
      </c>
      <c r="P3" s="10">
        <f ca="1">'PRESIDENCIA 24-25'!Q4</f>
        <v>112</v>
      </c>
      <c r="Q3" s="10">
        <f ca="1">'PRESIDENCIA 24-25'!R4</f>
        <v>100</v>
      </c>
      <c r="R3" s="10">
        <f ca="1">'PRESIDENCIA 24-25'!S4</f>
        <v>82</v>
      </c>
      <c r="S3" s="10">
        <f ca="1">'PRESIDENCIA 24-25'!T4</f>
        <v>920</v>
      </c>
    </row>
    <row r="4" spans="1:19">
      <c r="A4" s="42" t="s">
        <v>26</v>
      </c>
      <c r="B4" s="10">
        <f>'PRESIDENCIA 24-25'!C5</f>
        <v>250</v>
      </c>
      <c r="C4" s="10" t="str">
        <f>'PRESIDENCIA 24-25'!D5</f>
        <v>NUM. PERSONAS</v>
      </c>
      <c r="D4" s="10" t="str">
        <f>'PRESIDENCIA 24-25'!E5</f>
        <v>ASCENDENTE</v>
      </c>
      <c r="E4" s="10" t="str">
        <f>'PRESIDENCIA 24-25'!F5</f>
        <v>BITACORA DE ATENCION</v>
      </c>
      <c r="F4" s="33">
        <f ca="1">'PRESIDENCIA 24-25'!G5</f>
        <v>196.4</v>
      </c>
      <c r="G4" s="10">
        <f ca="1">'PRESIDENCIA 24-25'!H5</f>
        <v>20</v>
      </c>
      <c r="H4" s="10">
        <f ca="1">'PRESIDENCIA 24-25'!I5</f>
        <v>22</v>
      </c>
      <c r="I4" s="10">
        <f>'PRESIDENCIA 24-25'!J5</f>
        <v>15</v>
      </c>
      <c r="J4" s="10">
        <f ca="1">'PRESIDENCIA 24-25'!K5</f>
        <v>25</v>
      </c>
      <c r="K4" s="10">
        <f ca="1">'PRESIDENCIA 24-25'!L5</f>
        <v>31</v>
      </c>
      <c r="L4" s="10">
        <f>'PRESIDENCIA 24-25'!M5</f>
        <v>25</v>
      </c>
      <c r="M4" s="10">
        <f ca="1">'PRESIDENCIA 24-25'!N5</f>
        <v>34</v>
      </c>
      <c r="N4" s="10">
        <f ca="1">'PRESIDENCIA 24-25'!O5</f>
        <v>35</v>
      </c>
      <c r="O4" s="10">
        <f ca="1">'PRESIDENCIA 24-25'!P5</f>
        <v>20</v>
      </c>
      <c r="P4" s="10">
        <f ca="1">'PRESIDENCIA 24-25'!Q5</f>
        <v>92</v>
      </c>
      <c r="Q4" s="10">
        <f ca="1">'PRESIDENCIA 24-25'!R5</f>
        <v>84</v>
      </c>
      <c r="R4" s="10">
        <f ca="1">'PRESIDENCIA 24-25'!S5</f>
        <v>88</v>
      </c>
      <c r="S4" s="10">
        <f ca="1">'PRESIDENCIA 24-25'!T5</f>
        <v>491</v>
      </c>
    </row>
    <row r="5" spans="1:19">
      <c r="A5" s="42" t="s">
        <v>28</v>
      </c>
      <c r="B5" s="10">
        <f>'PRESIDENCIA 24-25'!C6</f>
        <v>85</v>
      </c>
      <c r="C5" s="10" t="str">
        <f>'PRESIDENCIA 24-25'!D6</f>
        <v>NÚM. ACUERDOS</v>
      </c>
      <c r="D5" s="10" t="str">
        <f>'PRESIDENCIA 24-25'!E6</f>
        <v>ASCENDENTE</v>
      </c>
      <c r="E5" s="10" t="str">
        <f>'PRESIDENCIA 24-25'!F6</f>
        <v>MINUTA DE REUNION</v>
      </c>
      <c r="F5" s="33">
        <f ca="1">'PRESIDENCIA 24-25'!G6</f>
        <v>91.764705882352942</v>
      </c>
      <c r="G5" s="10">
        <f ca="1">'PRESIDENCIA 24-25'!H6</f>
        <v>15</v>
      </c>
      <c r="H5" s="10">
        <f ca="1">'PRESIDENCIA 24-25'!I6</f>
        <v>8</v>
      </c>
      <c r="I5" s="10">
        <f ca="1">'PRESIDENCIA 24-25'!J6</f>
        <v>5</v>
      </c>
      <c r="J5" s="10">
        <f ca="1">'PRESIDENCIA 24-25'!K6</f>
        <v>8</v>
      </c>
      <c r="K5" s="10">
        <f ca="1">'PRESIDENCIA 24-25'!L6</f>
        <v>4</v>
      </c>
      <c r="L5" s="10">
        <f ca="1">'PRESIDENCIA 24-25'!M6</f>
        <v>6</v>
      </c>
      <c r="M5" s="10">
        <f ca="1">'PRESIDENCIA 24-25'!N6</f>
        <v>12</v>
      </c>
      <c r="N5" s="10">
        <f ca="1">'PRESIDENCIA 24-25'!O6</f>
        <v>11</v>
      </c>
      <c r="O5" s="10">
        <f ca="1">'PRESIDENCIA 24-25'!P6</f>
        <v>6</v>
      </c>
      <c r="P5" s="10">
        <f ca="1">'PRESIDENCIA 24-25'!Q6</f>
        <v>1</v>
      </c>
      <c r="Q5" s="10">
        <f ca="1">'PRESIDENCIA 24-25'!R6</f>
        <v>1</v>
      </c>
      <c r="R5" s="10">
        <f ca="1">'PRESIDENCIA 24-25'!S6</f>
        <v>1</v>
      </c>
      <c r="S5" s="10">
        <f ca="1">'PRESIDENCIA 24-25'!T6</f>
        <v>78</v>
      </c>
    </row>
    <row r="6" spans="1:19">
      <c r="A6" s="42" t="s">
        <v>30</v>
      </c>
      <c r="B6" s="10">
        <f>'PRESIDENCIA 24-25'!C7</f>
        <v>490</v>
      </c>
      <c r="C6" s="10" t="str">
        <f>'PRESIDENCIA 24-25'!D7</f>
        <v>NÚM. DE SOLICITUDES</v>
      </c>
      <c r="D6" s="10" t="str">
        <f>'PRESIDENCIA 24-25'!E7</f>
        <v>ASCENDENTE</v>
      </c>
      <c r="E6" s="10" t="str">
        <f>'PRESIDENCIA 24-25'!F7</f>
        <v>PNT</v>
      </c>
      <c r="F6" s="33">
        <f ca="1">'PRESIDENCIA 24-25'!G7</f>
        <v>118.77551020408164</v>
      </c>
      <c r="G6" s="10">
        <f ca="1">'PRESIDENCIA 24-25'!H7</f>
        <v>41</v>
      </c>
      <c r="H6" s="10">
        <f ca="1">'PRESIDENCIA 24-25'!I7</f>
        <v>60</v>
      </c>
      <c r="I6" s="10">
        <f ca="1">'PRESIDENCIA 24-25'!J7</f>
        <v>39</v>
      </c>
      <c r="J6" s="10">
        <f ca="1">'PRESIDENCIA 24-25'!K7</f>
        <v>52</v>
      </c>
      <c r="K6" s="10">
        <f ca="1">'PRESIDENCIA 24-25'!L7</f>
        <v>56</v>
      </c>
      <c r="L6" s="10">
        <f ca="1">'PRESIDENCIA 24-25'!M7</f>
        <v>63</v>
      </c>
      <c r="M6" s="10">
        <f ca="1">'PRESIDENCIA 24-25'!N7</f>
        <v>30</v>
      </c>
      <c r="N6" s="10">
        <f ca="1">'PRESIDENCIA 24-25'!O7</f>
        <v>42</v>
      </c>
      <c r="O6" s="10">
        <f ca="1">'PRESIDENCIA 24-25'!P7</f>
        <v>33</v>
      </c>
      <c r="P6" s="10">
        <f ca="1">'PRESIDENCIA 24-25'!Q7</f>
        <v>63</v>
      </c>
      <c r="Q6" s="10">
        <f ca="1">'PRESIDENCIA 24-25'!R7</f>
        <v>78</v>
      </c>
      <c r="R6" s="10">
        <f ca="1">'PRESIDENCIA 24-25'!S7</f>
        <v>25</v>
      </c>
      <c r="S6" s="10">
        <f ca="1">'PRESIDENCIA 24-25'!T7</f>
        <v>582</v>
      </c>
    </row>
    <row r="7" spans="1:19">
      <c r="A7" s="42" t="s">
        <v>31</v>
      </c>
      <c r="B7" s="10">
        <f>'PRESIDENCIA 24-25'!C8</f>
        <v>12</v>
      </c>
      <c r="C7" s="10" t="str">
        <f>'PRESIDENCIA 24-25'!D8</f>
        <v>NÚM. DE CAPACITACIONES</v>
      </c>
      <c r="D7" s="10" t="str">
        <f>'PRESIDENCIA 24-25'!E8</f>
        <v>ASCENDENTE</v>
      </c>
      <c r="E7" s="10" t="str">
        <f>'PRESIDENCIA 24-25'!F8</f>
        <v>PROGRAMA ANUAL DE CAPACITACIONES</v>
      </c>
      <c r="F7" s="33">
        <f ca="1">'PRESIDENCIA 24-25'!G8</f>
        <v>191.66666666666669</v>
      </c>
      <c r="G7" s="10">
        <f ca="1">'PRESIDENCIA 24-25'!H8</f>
        <v>1</v>
      </c>
      <c r="H7" s="10">
        <f ca="1">'PRESIDENCIA 24-25'!I8</f>
        <v>1</v>
      </c>
      <c r="I7" s="10">
        <f ca="1">'PRESIDENCIA 24-25'!J8</f>
        <v>1</v>
      </c>
      <c r="J7" s="10">
        <f ca="1">'PRESIDENCIA 24-25'!K8</f>
        <v>1</v>
      </c>
      <c r="K7" s="10">
        <f ca="1">'PRESIDENCIA 24-25'!L8</f>
        <v>1</v>
      </c>
      <c r="L7" s="10">
        <f ca="1">'PRESIDENCIA 24-25'!M8</f>
        <v>1</v>
      </c>
      <c r="M7" s="10">
        <f ca="1">'PRESIDENCIA 24-25'!N8</f>
        <v>1</v>
      </c>
      <c r="N7" s="10">
        <f ca="1">'PRESIDENCIA 24-25'!O8</f>
        <v>2</v>
      </c>
      <c r="O7" s="10">
        <f ca="1">'PRESIDENCIA 24-25'!P8</f>
        <v>1</v>
      </c>
      <c r="P7" s="10">
        <f ca="1">'PRESIDENCIA 24-25'!Q8</f>
        <v>4</v>
      </c>
      <c r="Q7" s="10">
        <f ca="1">'PRESIDENCIA 24-25'!R8</f>
        <v>4</v>
      </c>
      <c r="R7" s="10">
        <f ca="1">'PRESIDENCIA 24-25'!S8</f>
        <v>5</v>
      </c>
      <c r="S7" s="10">
        <f ca="1">'PRESIDENCIA 24-25'!T8</f>
        <v>23</v>
      </c>
    </row>
    <row r="8" spans="1:19">
      <c r="A8" s="42" t="s">
        <v>33</v>
      </c>
      <c r="B8" s="10">
        <f>'PRESIDENCIA 24-25'!C9</f>
        <v>430</v>
      </c>
      <c r="C8" s="10" t="str">
        <f>'PRESIDENCIA 24-25'!D9</f>
        <v>NÚM. DE NOTAS PUBLICADAS</v>
      </c>
      <c r="D8" s="10" t="str">
        <f>'PRESIDENCIA 24-25'!E9</f>
        <v>ASCENDENTE</v>
      </c>
      <c r="E8" s="10" t="str">
        <f>'PRESIDENCIA 24-25'!F9</f>
        <v>BITACORA OPERATIVA</v>
      </c>
      <c r="F8" s="33">
        <f ca="1">'PRESIDENCIA 24-25'!G9</f>
        <v>140.23255813953489</v>
      </c>
      <c r="G8" s="10">
        <f ca="1">'PRESIDENCIA 24-25'!H9</f>
        <v>35</v>
      </c>
      <c r="H8" s="10">
        <f ca="1">'PRESIDENCIA 24-25'!I9</f>
        <v>42</v>
      </c>
      <c r="I8" s="10">
        <f ca="1">'PRESIDENCIA 24-25'!J9</f>
        <v>39</v>
      </c>
      <c r="J8" s="10">
        <f ca="1">'PRESIDENCIA 24-25'!K9</f>
        <v>39</v>
      </c>
      <c r="K8" s="10">
        <f ca="1">'PRESIDENCIA 24-25'!L9</f>
        <v>48</v>
      </c>
      <c r="L8" s="10">
        <f ca="1">'PRESIDENCIA 24-25'!M9</f>
        <v>38</v>
      </c>
      <c r="M8" s="10">
        <f ca="1">'PRESIDENCIA 24-25'!N9</f>
        <v>37</v>
      </c>
      <c r="N8" s="10">
        <f ca="1">'PRESIDENCIA 24-25'!O9</f>
        <v>45</v>
      </c>
      <c r="O8" s="10">
        <f ca="1">'PRESIDENCIA 24-25'!P9</f>
        <v>53</v>
      </c>
      <c r="P8" s="10">
        <f ca="1">'PRESIDENCIA 24-25'!Q9</f>
        <v>84</v>
      </c>
      <c r="Q8" s="10">
        <f ca="1">'PRESIDENCIA 24-25'!R9</f>
        <v>55</v>
      </c>
      <c r="R8" s="10">
        <f ca="1">'PRESIDENCIA 24-25'!S9</f>
        <v>88</v>
      </c>
      <c r="S8" s="10">
        <f ca="1">'PRESIDENCIA 24-25'!T9</f>
        <v>603</v>
      </c>
    </row>
    <row r="9" spans="1:19">
      <c r="A9" s="42" t="s">
        <v>34</v>
      </c>
      <c r="B9" s="10">
        <f>'PRESIDENCIA 24-25'!C10</f>
        <v>950</v>
      </c>
      <c r="C9" s="10" t="str">
        <f>'PRESIDENCIA 24-25'!D10</f>
        <v>NÚM. DE DISEÑOS REALIZADOS</v>
      </c>
      <c r="D9" s="10" t="str">
        <f>'PRESIDENCIA 24-25'!E10</f>
        <v>ASCENDENTE</v>
      </c>
      <c r="E9" s="10" t="str">
        <f>'PRESIDENCIA 24-25'!F10</f>
        <v>BITACORA OPERATIVA</v>
      </c>
      <c r="F9" s="33">
        <f ca="1">'PRESIDENCIA 24-25'!G10</f>
        <v>120.10526315789474</v>
      </c>
      <c r="G9" s="10">
        <f ca="1">'PRESIDENCIA 24-25'!H10</f>
        <v>50</v>
      </c>
      <c r="H9" s="10">
        <f ca="1">'PRESIDENCIA 24-25'!I10</f>
        <v>72</v>
      </c>
      <c r="I9" s="10">
        <f ca="1">'PRESIDENCIA 24-25'!J10</f>
        <v>69</v>
      </c>
      <c r="J9" s="10">
        <f ca="1">'PRESIDENCIA 24-25'!K10</f>
        <v>172</v>
      </c>
      <c r="K9" s="10">
        <f ca="1">'PRESIDENCIA 24-25'!L10</f>
        <v>140</v>
      </c>
      <c r="L9" s="10">
        <f ca="1">'PRESIDENCIA 24-25'!M10</f>
        <v>142</v>
      </c>
      <c r="M9" s="10">
        <f ca="1">'PRESIDENCIA 24-25'!N10</f>
        <v>76</v>
      </c>
      <c r="N9" s="10">
        <f ca="1">'PRESIDENCIA 24-25'!O10</f>
        <v>58</v>
      </c>
      <c r="O9" s="10">
        <f ca="1">'PRESIDENCIA 24-25'!P10</f>
        <v>73</v>
      </c>
      <c r="P9" s="10">
        <f ca="1">'PRESIDENCIA 24-25'!Q10</f>
        <v>99</v>
      </c>
      <c r="Q9" s="10">
        <f ca="1">'PRESIDENCIA 24-25'!R10</f>
        <v>71</v>
      </c>
      <c r="R9" s="10">
        <f ca="1">'PRESIDENCIA 24-25'!S10</f>
        <v>119</v>
      </c>
      <c r="S9" s="10">
        <f ca="1">'PRESIDENCIA 24-25'!T10</f>
        <v>1141</v>
      </c>
    </row>
    <row r="10" spans="1:19">
      <c r="A10" s="42" t="s">
        <v>35</v>
      </c>
      <c r="B10" s="10">
        <f>'PRESIDENCIA 24-25'!C11</f>
        <v>1100</v>
      </c>
      <c r="C10" s="10" t="str">
        <f>'PRESIDENCIA 24-25'!D11</f>
        <v>NÚM. DE PUBLICCIONES</v>
      </c>
      <c r="D10" s="10" t="str">
        <f>'PRESIDENCIA 24-25'!E11</f>
        <v>ASCENDENTE</v>
      </c>
      <c r="E10" s="10" t="str">
        <f>'PRESIDENCIA 24-25'!F11</f>
        <v>BITACORA OPERATIVA</v>
      </c>
      <c r="F10" s="33">
        <f ca="1">'PRESIDENCIA 24-25'!G11</f>
        <v>179.18181818181819</v>
      </c>
      <c r="G10" s="10">
        <f ca="1">'PRESIDENCIA 24-25'!H11</f>
        <v>114</v>
      </c>
      <c r="H10" s="10">
        <f ca="1">'PRESIDENCIA 24-25'!I11</f>
        <v>150</v>
      </c>
      <c r="I10" s="10">
        <f ca="1">'PRESIDENCIA 24-25'!J11</f>
        <v>163</v>
      </c>
      <c r="J10" s="10">
        <f ca="1">'PRESIDENCIA 24-25'!K11</f>
        <v>1</v>
      </c>
      <c r="K10" s="10">
        <f ca="1">'PRESIDENCIA 24-25'!L11</f>
        <v>2</v>
      </c>
      <c r="L10" s="10">
        <f ca="1">'PRESIDENCIA 24-25'!M11</f>
        <v>2</v>
      </c>
      <c r="M10" s="10">
        <f ca="1">'PRESIDENCIA 24-25'!N11</f>
        <v>155</v>
      </c>
      <c r="N10" s="10">
        <f ca="1">'PRESIDENCIA 24-25'!O11</f>
        <v>207</v>
      </c>
      <c r="O10" s="10">
        <f ca="1">'PRESIDENCIA 24-25'!P11</f>
        <v>189</v>
      </c>
      <c r="P10" s="10">
        <f ca="1">'PRESIDENCIA 24-25'!Q11</f>
        <v>281</v>
      </c>
      <c r="Q10" s="10">
        <f ca="1">'PRESIDENCIA 24-25'!R11</f>
        <v>271</v>
      </c>
      <c r="R10" s="10">
        <f ca="1">'PRESIDENCIA 24-25'!S11</f>
        <v>436</v>
      </c>
      <c r="S10" s="10">
        <f ca="1">'PRESIDENCIA 24-25'!T11</f>
        <v>1971</v>
      </c>
    </row>
    <row r="11" spans="1:19">
      <c r="A11" s="42" t="s">
        <v>37</v>
      </c>
      <c r="B11" s="10">
        <f>'PRESIDENCIA 24-25'!C12</f>
        <v>23</v>
      </c>
      <c r="C11" s="10" t="str">
        <f>'PRESIDENCIA 24-25'!D12</f>
        <v>NÚM. DE PROGRAMAS IMPLEMENTADOS</v>
      </c>
      <c r="D11" s="10" t="str">
        <f>'PRESIDENCIA 24-25'!E12</f>
        <v>ASCENDENTE</v>
      </c>
      <c r="E11" s="10" t="str">
        <f>'PRESIDENCIA 24-25'!F12</f>
        <v>PADRON UNICO DE BENEFICIADOS</v>
      </c>
      <c r="F11" s="33">
        <f ca="1">'PRESIDENCIA 24-25'!G12</f>
        <v>121.73913043478262</v>
      </c>
      <c r="G11" s="10">
        <f ca="1">'PRESIDENCIA 24-25'!H12</f>
        <v>0</v>
      </c>
      <c r="H11" s="10">
        <f ca="1">'PRESIDENCIA 24-25'!I12</f>
        <v>0</v>
      </c>
      <c r="I11" s="10">
        <f ca="1">'PRESIDENCIA 24-25'!J12</f>
        <v>0</v>
      </c>
      <c r="J11" s="10">
        <f ca="1">'PRESIDENCIA 24-25'!K12</f>
        <v>2</v>
      </c>
      <c r="K11" s="10">
        <f ca="1">'PRESIDENCIA 24-25'!L12</f>
        <v>3</v>
      </c>
      <c r="L11" s="10">
        <f ca="1">'PRESIDENCIA 24-25'!M12</f>
        <v>2</v>
      </c>
      <c r="M11" s="10">
        <f ca="1">'PRESIDENCIA 24-25'!N12</f>
        <v>3</v>
      </c>
      <c r="N11" s="10">
        <f ca="1">'PRESIDENCIA 24-25'!O12</f>
        <v>5</v>
      </c>
      <c r="O11" s="10">
        <f ca="1">'PRESIDENCIA 24-25'!P12</f>
        <v>3</v>
      </c>
      <c r="P11" s="10">
        <f ca="1">'PRESIDENCIA 24-25'!Q12</f>
        <v>3</v>
      </c>
      <c r="Q11" s="10">
        <f ca="1">'PRESIDENCIA 24-25'!R12</f>
        <v>0</v>
      </c>
      <c r="R11" s="10">
        <f ca="1">'PRESIDENCIA 24-25'!S12</f>
        <v>7</v>
      </c>
      <c r="S11" s="10">
        <f ca="1">'PRESIDENCIA 24-25'!T12</f>
        <v>28</v>
      </c>
    </row>
    <row r="12" spans="1:19">
      <c r="A12" s="42" t="s">
        <v>38</v>
      </c>
      <c r="B12" s="10">
        <f>'PRESIDENCIA 24-25'!C13</f>
        <v>2150</v>
      </c>
      <c r="C12" s="10" t="str">
        <f>'PRESIDENCIA 24-25'!D13</f>
        <v>NUM. PERSONAS</v>
      </c>
      <c r="D12" s="10" t="str">
        <f>'PRESIDENCIA 24-25'!E13</f>
        <v>ASCENDENTE</v>
      </c>
      <c r="E12" s="10" t="str">
        <f>'PRESIDENCIA 24-25'!F13</f>
        <v>PADRON UNICO DE BENEFICIADOS</v>
      </c>
      <c r="F12" s="33">
        <f ca="1">'PRESIDENCIA 24-25'!G13</f>
        <v>144.04651162790699</v>
      </c>
      <c r="G12" s="10">
        <f ca="1">'PRESIDENCIA 24-25'!H13</f>
        <v>0</v>
      </c>
      <c r="H12" s="10">
        <f ca="1">'PRESIDENCIA 24-25'!I13</f>
        <v>0</v>
      </c>
      <c r="I12" s="10">
        <f ca="1">'PRESIDENCIA 24-25'!J13</f>
        <v>0</v>
      </c>
      <c r="J12" s="10">
        <f ca="1">'PRESIDENCIA 24-25'!K13</f>
        <v>255</v>
      </c>
      <c r="K12" s="10">
        <f ca="1">'PRESIDENCIA 24-25'!L13</f>
        <v>272</v>
      </c>
      <c r="L12" s="10">
        <f ca="1">'PRESIDENCIA 24-25'!M13</f>
        <v>350</v>
      </c>
      <c r="M12" s="10">
        <f ca="1">'PRESIDENCIA 24-25'!N13</f>
        <v>253</v>
      </c>
      <c r="N12" s="10">
        <f ca="1">'PRESIDENCIA 24-25'!O13</f>
        <v>326</v>
      </c>
      <c r="O12" s="10">
        <f ca="1">'PRESIDENCIA 24-25'!P13</f>
        <v>250</v>
      </c>
      <c r="P12" s="10">
        <f ca="1">'PRESIDENCIA 24-25'!Q13</f>
        <v>251</v>
      </c>
      <c r="Q12" s="10">
        <f ca="1">'PRESIDENCIA 24-25'!R13</f>
        <v>0</v>
      </c>
      <c r="R12" s="10">
        <f ca="1">'PRESIDENCIA 24-25'!S13</f>
        <v>1140</v>
      </c>
      <c r="S12" s="10">
        <f ca="1">'PRESIDENCIA 24-25'!T13</f>
        <v>3097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S12"/>
  <sheetViews>
    <sheetView workbookViewId="0"/>
  </sheetViews>
  <sheetFormatPr baseColWidth="10" defaultColWidth="11.1640625" defaultRowHeight="15" customHeight="1"/>
  <cols>
    <col min="1" max="1" width="39.5" customWidth="1"/>
    <col min="2" max="2" width="16.1640625" customWidth="1"/>
    <col min="3" max="3" width="19.1640625" customWidth="1"/>
    <col min="4" max="4" width="28.1640625" customWidth="1"/>
    <col min="5" max="5" width="26" customWidth="1"/>
    <col min="6" max="6" width="11.1640625" customWidth="1"/>
    <col min="18" max="18" width="12.5" customWidth="1"/>
    <col min="19" max="19" width="16.1640625" customWidth="1"/>
  </cols>
  <sheetData>
    <row r="1" spans="1:19">
      <c r="A1" s="3" t="s">
        <v>5</v>
      </c>
      <c r="B1" s="3" t="s">
        <v>6</v>
      </c>
      <c r="C1" s="3" t="s">
        <v>7</v>
      </c>
      <c r="D1" s="2" t="s">
        <v>8</v>
      </c>
      <c r="E1" s="3" t="s">
        <v>9</v>
      </c>
      <c r="F1" s="3" t="s">
        <v>10</v>
      </c>
      <c r="G1" s="3" t="s">
        <v>11</v>
      </c>
      <c r="H1" s="5" t="s">
        <v>12</v>
      </c>
      <c r="I1" s="5" t="s">
        <v>13</v>
      </c>
      <c r="J1" s="6" t="s">
        <v>14</v>
      </c>
      <c r="K1" s="6" t="s">
        <v>15</v>
      </c>
      <c r="L1" s="6" t="s">
        <v>16</v>
      </c>
      <c r="M1" s="6" t="s">
        <v>17</v>
      </c>
      <c r="N1" s="6" t="s">
        <v>18</v>
      </c>
      <c r="O1" s="6" t="s">
        <v>19</v>
      </c>
      <c r="P1" s="6" t="s">
        <v>20</v>
      </c>
      <c r="Q1" s="6" t="s">
        <v>21</v>
      </c>
      <c r="R1" s="6" t="s">
        <v>22</v>
      </c>
      <c r="S1" s="2" t="s">
        <v>23</v>
      </c>
    </row>
    <row r="2" spans="1:19">
      <c r="A2" s="42" t="s">
        <v>25</v>
      </c>
      <c r="B2" s="43">
        <f>'PRESIDENCIA 25-26'!C3</f>
        <v>337</v>
      </c>
      <c r="C2" s="43" t="str">
        <f>'PRESIDENCIA 25-26'!D3</f>
        <v>CITA</v>
      </c>
      <c r="D2" s="43" t="str">
        <f>'PRESIDENCIA 25-26'!E3</f>
        <v>ASCENDENTE</v>
      </c>
      <c r="E2" s="43" t="str">
        <f>'PRESIDENCIA 25-26'!F3</f>
        <v>BITACORA DE ATENCION</v>
      </c>
      <c r="F2" s="44">
        <f ca="1">'PRESIDENCIA 25-26'!G3</f>
        <v>0</v>
      </c>
      <c r="G2" s="43">
        <f ca="1">'PRESIDENCIA 25-26'!H3</f>
        <v>0</v>
      </c>
      <c r="H2" s="43">
        <f ca="1">'PRESIDENCIA 25-26'!I3</f>
        <v>0</v>
      </c>
      <c r="I2" s="43">
        <f ca="1">'PRESIDENCIA 25-26'!J3</f>
        <v>0</v>
      </c>
      <c r="J2" s="43">
        <f ca="1">'PRESIDENCIA 25-26'!K3</f>
        <v>0</v>
      </c>
      <c r="K2" s="43">
        <f ca="1">'PRESIDENCIA 25-26'!L3</f>
        <v>0</v>
      </c>
      <c r="L2" s="43">
        <f ca="1">'PRESIDENCIA 25-26'!M3</f>
        <v>0</v>
      </c>
      <c r="M2" s="43">
        <f ca="1">'PRESIDENCIA 25-26'!N3</f>
        <v>0</v>
      </c>
      <c r="N2" s="43">
        <f ca="1">'PRESIDENCIA 25-26'!O3</f>
        <v>0</v>
      </c>
      <c r="O2" s="43">
        <f ca="1">'PRESIDENCIA 25-26'!P3</f>
        <v>0</v>
      </c>
      <c r="P2" s="43">
        <f ca="1">'PRESIDENCIA 25-26'!Q3</f>
        <v>0</v>
      </c>
      <c r="Q2" s="43">
        <f ca="1">'PRESIDENCIA 25-26'!R3</f>
        <v>0</v>
      </c>
      <c r="R2" s="43">
        <f ca="1">'PRESIDENCIA 25-26'!S3</f>
        <v>0</v>
      </c>
      <c r="S2" s="43">
        <f ca="1">'PRESIDENCIA 25-26'!T3</f>
        <v>0</v>
      </c>
    </row>
    <row r="3" spans="1:19">
      <c r="A3" s="42" t="s">
        <v>26</v>
      </c>
      <c r="B3" s="43">
        <f>'PRESIDENCIA 25-26'!C4</f>
        <v>920</v>
      </c>
      <c r="C3" s="43" t="str">
        <f>'PRESIDENCIA 25-26'!D4</f>
        <v>NÚM. DE PERSONAS</v>
      </c>
      <c r="D3" s="43" t="str">
        <f>'PRESIDENCIA 25-26'!E4</f>
        <v>ASCENDENTE</v>
      </c>
      <c r="E3" s="43" t="str">
        <f>'PRESIDENCIA 25-26'!F4</f>
        <v>BITACORA DE ATENCION</v>
      </c>
      <c r="F3" s="44">
        <f ca="1">'PRESIDENCIA 25-26'!G4</f>
        <v>0</v>
      </c>
      <c r="G3" s="43">
        <f ca="1">'PRESIDENCIA 25-26'!H4</f>
        <v>0</v>
      </c>
      <c r="H3" s="43">
        <f ca="1">'PRESIDENCIA 25-26'!I4</f>
        <v>0</v>
      </c>
      <c r="I3" s="43">
        <f ca="1">'PRESIDENCIA 25-26'!J4</f>
        <v>0</v>
      </c>
      <c r="J3" s="43">
        <f ca="1">'PRESIDENCIA 25-26'!K4</f>
        <v>0</v>
      </c>
      <c r="K3" s="43">
        <f ca="1">'PRESIDENCIA 25-26'!L4</f>
        <v>0</v>
      </c>
      <c r="L3" s="43">
        <f ca="1">'PRESIDENCIA 25-26'!M4</f>
        <v>0</v>
      </c>
      <c r="M3" s="43">
        <f ca="1">'PRESIDENCIA 25-26'!N4</f>
        <v>0</v>
      </c>
      <c r="N3" s="43">
        <f ca="1">'PRESIDENCIA 25-26'!O4</f>
        <v>0</v>
      </c>
      <c r="O3" s="43">
        <f ca="1">'PRESIDENCIA 25-26'!P4</f>
        <v>0</v>
      </c>
      <c r="P3" s="43">
        <f ca="1">'PRESIDENCIA 25-26'!Q4</f>
        <v>0</v>
      </c>
      <c r="Q3" s="43">
        <f ca="1">'PRESIDENCIA 25-26'!R4</f>
        <v>0</v>
      </c>
      <c r="R3" s="43">
        <f ca="1">'PRESIDENCIA 25-26'!S4</f>
        <v>0</v>
      </c>
      <c r="S3" s="43">
        <f ca="1">'PRESIDENCIA 25-26'!T4</f>
        <v>0</v>
      </c>
    </row>
    <row r="4" spans="1:19">
      <c r="A4" s="42" t="s">
        <v>26</v>
      </c>
      <c r="B4" s="43">
        <f>'PRESIDENCIA 25-26'!C5</f>
        <v>491</v>
      </c>
      <c r="C4" s="43" t="str">
        <f>'PRESIDENCIA 25-26'!D5</f>
        <v>NUM. PERSONAS</v>
      </c>
      <c r="D4" s="43" t="str">
        <f>'PRESIDENCIA 25-26'!E5</f>
        <v>ASCENDENTE</v>
      </c>
      <c r="E4" s="43" t="str">
        <f>'PRESIDENCIA 25-26'!F5</f>
        <v>BITACORA DE ATENCION</v>
      </c>
      <c r="F4" s="44">
        <f ca="1">'PRESIDENCIA 25-26'!G5</f>
        <v>0</v>
      </c>
      <c r="G4" s="43">
        <f ca="1">'PRESIDENCIA 25-26'!H5</f>
        <v>0</v>
      </c>
      <c r="H4" s="43">
        <f ca="1">'PRESIDENCIA 25-26'!I5</f>
        <v>0</v>
      </c>
      <c r="I4" s="43">
        <f ca="1">'PRESIDENCIA 25-26'!J5</f>
        <v>0</v>
      </c>
      <c r="J4" s="43">
        <f ca="1">'PRESIDENCIA 25-26'!K5</f>
        <v>0</v>
      </c>
      <c r="K4" s="43">
        <f ca="1">'PRESIDENCIA 25-26'!L5</f>
        <v>0</v>
      </c>
      <c r="L4" s="43">
        <f ca="1">'PRESIDENCIA 25-26'!M5</f>
        <v>0</v>
      </c>
      <c r="M4" s="43">
        <f ca="1">'PRESIDENCIA 25-26'!N5</f>
        <v>0</v>
      </c>
      <c r="N4" s="43">
        <f ca="1">'PRESIDENCIA 25-26'!O5</f>
        <v>0</v>
      </c>
      <c r="O4" s="43">
        <f ca="1">'PRESIDENCIA 25-26'!P5</f>
        <v>0</v>
      </c>
      <c r="P4" s="43">
        <f ca="1">'PRESIDENCIA 25-26'!Q5</f>
        <v>0</v>
      </c>
      <c r="Q4" s="43">
        <f ca="1">'PRESIDENCIA 25-26'!R5</f>
        <v>0</v>
      </c>
      <c r="R4" s="43">
        <f ca="1">'PRESIDENCIA 25-26'!S5</f>
        <v>0</v>
      </c>
      <c r="S4" s="43">
        <f ca="1">'PRESIDENCIA 25-26'!T5</f>
        <v>0</v>
      </c>
    </row>
    <row r="5" spans="1:19">
      <c r="A5" s="42" t="s">
        <v>28</v>
      </c>
      <c r="B5" s="43">
        <f>'PRESIDENCIA 25-26'!C6</f>
        <v>78</v>
      </c>
      <c r="C5" s="43" t="str">
        <f>'PRESIDENCIA 25-26'!D6</f>
        <v>NÚM. ACUERDOS</v>
      </c>
      <c r="D5" s="43" t="str">
        <f>'PRESIDENCIA 25-26'!E6</f>
        <v>ASCENDENTE</v>
      </c>
      <c r="E5" s="43" t="str">
        <f>'PRESIDENCIA 25-26'!F6</f>
        <v>MINUTA DE REUNION</v>
      </c>
      <c r="F5" s="44">
        <f ca="1">'PRESIDENCIA 25-26'!G6</f>
        <v>0</v>
      </c>
      <c r="G5" s="43">
        <f ca="1">'PRESIDENCIA 25-26'!H6</f>
        <v>0</v>
      </c>
      <c r="H5" s="43">
        <f ca="1">'PRESIDENCIA 25-26'!I6</f>
        <v>0</v>
      </c>
      <c r="I5" s="43">
        <f ca="1">'PRESIDENCIA 25-26'!J6</f>
        <v>0</v>
      </c>
      <c r="J5" s="43">
        <f ca="1">'PRESIDENCIA 25-26'!K6</f>
        <v>0</v>
      </c>
      <c r="K5" s="43">
        <f ca="1">'PRESIDENCIA 25-26'!L6</f>
        <v>0</v>
      </c>
      <c r="L5" s="43">
        <f ca="1">'PRESIDENCIA 25-26'!M6</f>
        <v>0</v>
      </c>
      <c r="M5" s="43">
        <f ca="1">'PRESIDENCIA 25-26'!N6</f>
        <v>0</v>
      </c>
      <c r="N5" s="43">
        <f ca="1">'PRESIDENCIA 25-26'!O6</f>
        <v>0</v>
      </c>
      <c r="O5" s="43">
        <f ca="1">'PRESIDENCIA 25-26'!P6</f>
        <v>0</v>
      </c>
      <c r="P5" s="43">
        <f ca="1">'PRESIDENCIA 25-26'!Q6</f>
        <v>0</v>
      </c>
      <c r="Q5" s="43">
        <f ca="1">'PRESIDENCIA 25-26'!R6</f>
        <v>0</v>
      </c>
      <c r="R5" s="43">
        <f ca="1">'PRESIDENCIA 25-26'!S6</f>
        <v>0</v>
      </c>
      <c r="S5" s="43">
        <f ca="1">'PRESIDENCIA 25-26'!T6</f>
        <v>0</v>
      </c>
    </row>
    <row r="6" spans="1:19">
      <c r="A6" s="42" t="s">
        <v>30</v>
      </c>
      <c r="B6" s="43">
        <f>'PRESIDENCIA 25-26'!C7</f>
        <v>582</v>
      </c>
      <c r="C6" s="43" t="str">
        <f>'PRESIDENCIA 25-26'!D7</f>
        <v>NÚM. DE SOLICITUDES</v>
      </c>
      <c r="D6" s="43" t="str">
        <f>'PRESIDENCIA 25-26'!E7</f>
        <v>ASCENDENTE</v>
      </c>
      <c r="E6" s="43" t="str">
        <f>'PRESIDENCIA 25-26'!F7</f>
        <v>PNT</v>
      </c>
      <c r="F6" s="44">
        <f ca="1">'PRESIDENCIA 25-26'!G7</f>
        <v>8.5910652920962196</v>
      </c>
      <c r="G6" s="43">
        <f ca="1">'PRESIDENCIA 25-26'!H7</f>
        <v>31</v>
      </c>
      <c r="H6" s="43">
        <f ca="1">'PRESIDENCIA 25-26'!I7</f>
        <v>19</v>
      </c>
      <c r="I6" s="43">
        <f ca="1">'PRESIDENCIA 25-26'!J7</f>
        <v>0</v>
      </c>
      <c r="J6" s="43">
        <f ca="1">'PRESIDENCIA 25-26'!K7</f>
        <v>0</v>
      </c>
      <c r="K6" s="43">
        <f ca="1">'PRESIDENCIA 25-26'!L7</f>
        <v>0</v>
      </c>
      <c r="L6" s="43">
        <f ca="1">'PRESIDENCIA 25-26'!M7</f>
        <v>0</v>
      </c>
      <c r="M6" s="43">
        <f ca="1">'PRESIDENCIA 25-26'!N7</f>
        <v>0</v>
      </c>
      <c r="N6" s="43">
        <f ca="1">'PRESIDENCIA 25-26'!O7</f>
        <v>0</v>
      </c>
      <c r="O6" s="43">
        <f ca="1">'PRESIDENCIA 25-26'!P7</f>
        <v>0</v>
      </c>
      <c r="P6" s="43">
        <f ca="1">'PRESIDENCIA 25-26'!Q7</f>
        <v>0</v>
      </c>
      <c r="Q6" s="43">
        <f ca="1">'PRESIDENCIA 25-26'!R7</f>
        <v>0</v>
      </c>
      <c r="R6" s="43">
        <f ca="1">'PRESIDENCIA 25-26'!S7</f>
        <v>0</v>
      </c>
      <c r="S6" s="43">
        <f ca="1">'PRESIDENCIA 25-26'!T7</f>
        <v>50</v>
      </c>
    </row>
    <row r="7" spans="1:19">
      <c r="A7" s="42" t="s">
        <v>31</v>
      </c>
      <c r="B7" s="43">
        <f>'PRESIDENCIA 25-26'!C8</f>
        <v>23</v>
      </c>
      <c r="C7" s="43" t="str">
        <f>'PRESIDENCIA 25-26'!D8</f>
        <v>NÚM. DE CAPACITACIONES</v>
      </c>
      <c r="D7" s="43" t="str">
        <f>'PRESIDENCIA 25-26'!E8</f>
        <v>ASCENDENTE</v>
      </c>
      <c r="E7" s="43" t="str">
        <f>'PRESIDENCIA 25-26'!F8</f>
        <v>PROGRAMA ANUAL DE CAPACITACIONES</v>
      </c>
      <c r="F7" s="44">
        <f ca="1">'PRESIDENCIA 25-26'!G8</f>
        <v>13.043478260869565</v>
      </c>
      <c r="G7" s="43">
        <f ca="1">'PRESIDENCIA 25-26'!H8</f>
        <v>2</v>
      </c>
      <c r="H7" s="43">
        <f ca="1">'PRESIDENCIA 25-26'!I8</f>
        <v>1</v>
      </c>
      <c r="I7" s="43">
        <f ca="1">'PRESIDENCIA 25-26'!J8</f>
        <v>0</v>
      </c>
      <c r="J7" s="43">
        <f ca="1">'PRESIDENCIA 25-26'!K8</f>
        <v>0</v>
      </c>
      <c r="K7" s="43">
        <f ca="1">'PRESIDENCIA 25-26'!L8</f>
        <v>0</v>
      </c>
      <c r="L7" s="43">
        <f ca="1">'PRESIDENCIA 25-26'!M8</f>
        <v>0</v>
      </c>
      <c r="M7" s="43">
        <f ca="1">'PRESIDENCIA 25-26'!N8</f>
        <v>0</v>
      </c>
      <c r="N7" s="43">
        <f ca="1">'PRESIDENCIA 25-26'!O8</f>
        <v>0</v>
      </c>
      <c r="O7" s="43">
        <f ca="1">'PRESIDENCIA 25-26'!P8</f>
        <v>0</v>
      </c>
      <c r="P7" s="43">
        <f ca="1">'PRESIDENCIA 25-26'!Q8</f>
        <v>0</v>
      </c>
      <c r="Q7" s="43">
        <f ca="1">'PRESIDENCIA 25-26'!R8</f>
        <v>0</v>
      </c>
      <c r="R7" s="43">
        <f ca="1">'PRESIDENCIA 25-26'!S8</f>
        <v>0</v>
      </c>
      <c r="S7" s="43">
        <f ca="1">'PRESIDENCIA 25-26'!T8</f>
        <v>3</v>
      </c>
    </row>
    <row r="8" spans="1:19">
      <c r="A8" s="42" t="s">
        <v>33</v>
      </c>
      <c r="B8" s="43">
        <f>'PRESIDENCIA 25-26'!C9</f>
        <v>603</v>
      </c>
      <c r="C8" s="43" t="str">
        <f>'PRESIDENCIA 25-26'!D9</f>
        <v>NÚM. DE NOTAS PUBLICADAS</v>
      </c>
      <c r="D8" s="43" t="str">
        <f>'PRESIDENCIA 25-26'!E9</f>
        <v>ASCENDENTE</v>
      </c>
      <c r="E8" s="43" t="str">
        <f>'PRESIDENCIA 25-26'!F9</f>
        <v>BITACORA OPERATIVA</v>
      </c>
      <c r="F8" s="44">
        <f ca="1">'PRESIDENCIA 25-26'!G9</f>
        <v>0</v>
      </c>
      <c r="G8" s="43">
        <f ca="1">'PRESIDENCIA 25-26'!H9</f>
        <v>0</v>
      </c>
      <c r="H8" s="43">
        <f ca="1">'PRESIDENCIA 25-26'!I9</f>
        <v>0</v>
      </c>
      <c r="I8" s="43">
        <f ca="1">'PRESIDENCIA 25-26'!J9</f>
        <v>0</v>
      </c>
      <c r="J8" s="43">
        <f ca="1">'PRESIDENCIA 25-26'!K9</f>
        <v>0</v>
      </c>
      <c r="K8" s="43">
        <f ca="1">'PRESIDENCIA 25-26'!L9</f>
        <v>0</v>
      </c>
      <c r="L8" s="43">
        <f ca="1">'PRESIDENCIA 25-26'!M9</f>
        <v>0</v>
      </c>
      <c r="M8" s="43">
        <f ca="1">'PRESIDENCIA 25-26'!N9</f>
        <v>0</v>
      </c>
      <c r="N8" s="43">
        <f ca="1">'PRESIDENCIA 25-26'!O9</f>
        <v>0</v>
      </c>
      <c r="O8" s="43">
        <f ca="1">'PRESIDENCIA 25-26'!P9</f>
        <v>0</v>
      </c>
      <c r="P8" s="43">
        <f ca="1">'PRESIDENCIA 25-26'!Q9</f>
        <v>0</v>
      </c>
      <c r="Q8" s="43">
        <f ca="1">'PRESIDENCIA 25-26'!R9</f>
        <v>0</v>
      </c>
      <c r="R8" s="43">
        <f ca="1">'PRESIDENCIA 25-26'!S9</f>
        <v>0</v>
      </c>
      <c r="S8" s="43">
        <f ca="1">'PRESIDENCIA 25-26'!T9</f>
        <v>0</v>
      </c>
    </row>
    <row r="9" spans="1:19">
      <c r="A9" s="42" t="s">
        <v>34</v>
      </c>
      <c r="B9" s="43">
        <f>'PRESIDENCIA 25-26'!C10</f>
        <v>1141</v>
      </c>
      <c r="C9" s="43" t="str">
        <f>'PRESIDENCIA 25-26'!D10</f>
        <v>NÚM. DE DISEÑOS REALIZADOS</v>
      </c>
      <c r="D9" s="43" t="str">
        <f>'PRESIDENCIA 25-26'!E10</f>
        <v>ASCENDENTE</v>
      </c>
      <c r="E9" s="43" t="str">
        <f>'PRESIDENCIA 25-26'!F10</f>
        <v>BITACORA OPERATIVA</v>
      </c>
      <c r="F9" s="44">
        <f ca="1">'PRESIDENCIA 25-26'!G10</f>
        <v>0</v>
      </c>
      <c r="G9" s="43">
        <f ca="1">'PRESIDENCIA 25-26'!H10</f>
        <v>0</v>
      </c>
      <c r="H9" s="43">
        <f ca="1">'PRESIDENCIA 25-26'!I10</f>
        <v>0</v>
      </c>
      <c r="I9" s="43">
        <f ca="1">'PRESIDENCIA 25-26'!J10</f>
        <v>0</v>
      </c>
      <c r="J9" s="43">
        <f ca="1">'PRESIDENCIA 25-26'!K10</f>
        <v>0</v>
      </c>
      <c r="K9" s="43">
        <f ca="1">'PRESIDENCIA 25-26'!L10</f>
        <v>0</v>
      </c>
      <c r="L9" s="43">
        <f ca="1">'PRESIDENCIA 25-26'!M10</f>
        <v>0</v>
      </c>
      <c r="M9" s="43">
        <f ca="1">'PRESIDENCIA 25-26'!N10</f>
        <v>0</v>
      </c>
      <c r="N9" s="43">
        <f ca="1">'PRESIDENCIA 25-26'!O10</f>
        <v>0</v>
      </c>
      <c r="O9" s="43">
        <f ca="1">'PRESIDENCIA 25-26'!P10</f>
        <v>0</v>
      </c>
      <c r="P9" s="43">
        <f ca="1">'PRESIDENCIA 25-26'!Q10</f>
        <v>0</v>
      </c>
      <c r="Q9" s="43">
        <f ca="1">'PRESIDENCIA 25-26'!R10</f>
        <v>0</v>
      </c>
      <c r="R9" s="43">
        <f ca="1">'PRESIDENCIA 25-26'!S10</f>
        <v>0</v>
      </c>
      <c r="S9" s="43">
        <f ca="1">'PRESIDENCIA 25-26'!T10</f>
        <v>0</v>
      </c>
    </row>
    <row r="10" spans="1:19">
      <c r="A10" s="42" t="s">
        <v>35</v>
      </c>
      <c r="B10" s="43">
        <f>'PRESIDENCIA 25-26'!C11</f>
        <v>1971</v>
      </c>
      <c r="C10" s="43" t="str">
        <f>'PRESIDENCIA 25-26'!D11</f>
        <v>NÚM. DE PUBLICCIONES</v>
      </c>
      <c r="D10" s="43" t="str">
        <f>'PRESIDENCIA 25-26'!E11</f>
        <v>ASCENDENTE</v>
      </c>
      <c r="E10" s="43" t="str">
        <f>'PRESIDENCIA 25-26'!F11</f>
        <v>BITACORA OPERATIVA</v>
      </c>
      <c r="F10" s="44">
        <f ca="1">'PRESIDENCIA 25-26'!G11</f>
        <v>0</v>
      </c>
      <c r="G10" s="43">
        <f ca="1">'PRESIDENCIA 25-26'!H11</f>
        <v>0</v>
      </c>
      <c r="H10" s="43">
        <f ca="1">'PRESIDENCIA 25-26'!I11</f>
        <v>0</v>
      </c>
      <c r="I10" s="43">
        <f ca="1">'PRESIDENCIA 25-26'!J11</f>
        <v>0</v>
      </c>
      <c r="J10" s="43">
        <f ca="1">'PRESIDENCIA 25-26'!K11</f>
        <v>0</v>
      </c>
      <c r="K10" s="43">
        <f ca="1">'PRESIDENCIA 25-26'!L11</f>
        <v>0</v>
      </c>
      <c r="L10" s="43">
        <f ca="1">'PRESIDENCIA 25-26'!M11</f>
        <v>0</v>
      </c>
      <c r="M10" s="43">
        <f ca="1">'PRESIDENCIA 25-26'!N11</f>
        <v>0</v>
      </c>
      <c r="N10" s="43">
        <f ca="1">'PRESIDENCIA 25-26'!O11</f>
        <v>0</v>
      </c>
      <c r="O10" s="43">
        <f ca="1">'PRESIDENCIA 25-26'!P11</f>
        <v>0</v>
      </c>
      <c r="P10" s="43">
        <f ca="1">'PRESIDENCIA 25-26'!Q11</f>
        <v>0</v>
      </c>
      <c r="Q10" s="43">
        <f ca="1">'PRESIDENCIA 25-26'!R11</f>
        <v>0</v>
      </c>
      <c r="R10" s="43">
        <f ca="1">'PRESIDENCIA 25-26'!S11</f>
        <v>0</v>
      </c>
      <c r="S10" s="43">
        <f ca="1">'PRESIDENCIA 25-26'!T11</f>
        <v>0</v>
      </c>
    </row>
    <row r="11" spans="1:19">
      <c r="A11" s="42" t="s">
        <v>37</v>
      </c>
      <c r="B11" s="43">
        <f>'PRESIDENCIA 25-26'!C12</f>
        <v>28</v>
      </c>
      <c r="C11" s="43" t="str">
        <f>'PRESIDENCIA 25-26'!D12</f>
        <v>NÚM. DE PROGRAMAS IMPLEMENTADOS</v>
      </c>
      <c r="D11" s="43" t="str">
        <f>'PRESIDENCIA 25-26'!E12</f>
        <v>ASCENDENTE</v>
      </c>
      <c r="E11" s="43" t="str">
        <f>'PRESIDENCIA 25-26'!F12</f>
        <v>PADRON UNICO DE BENEFICIADOS</v>
      </c>
      <c r="F11" s="44">
        <f ca="1">'PRESIDENCIA 25-26'!G12</f>
        <v>1217.8571428571429</v>
      </c>
      <c r="G11" s="43">
        <f ca="1">'PRESIDENCIA 25-26'!H12</f>
        <v>193</v>
      </c>
      <c r="H11" s="43">
        <f ca="1">'PRESIDENCIA 25-26'!I12</f>
        <v>148</v>
      </c>
      <c r="I11" s="43">
        <f ca="1">'PRESIDENCIA 25-26'!J12</f>
        <v>0</v>
      </c>
      <c r="J11" s="43">
        <f ca="1">'PRESIDENCIA 25-26'!K12</f>
        <v>0</v>
      </c>
      <c r="K11" s="43">
        <f ca="1">'PRESIDENCIA 25-26'!L12</f>
        <v>0</v>
      </c>
      <c r="L11" s="43">
        <f ca="1">'PRESIDENCIA 25-26'!M12</f>
        <v>0</v>
      </c>
      <c r="M11" s="43">
        <f ca="1">'PRESIDENCIA 25-26'!N12</f>
        <v>0</v>
      </c>
      <c r="N11" s="43">
        <f ca="1">'PRESIDENCIA 25-26'!O12</f>
        <v>0</v>
      </c>
      <c r="O11" s="43">
        <f ca="1">'PRESIDENCIA 25-26'!P12</f>
        <v>0</v>
      </c>
      <c r="P11" s="43">
        <f ca="1">'PRESIDENCIA 25-26'!Q12</f>
        <v>0</v>
      </c>
      <c r="Q11" s="43">
        <f ca="1">'PRESIDENCIA 25-26'!R12</f>
        <v>0</v>
      </c>
      <c r="R11" s="43">
        <f ca="1">'PRESIDENCIA 25-26'!S12</f>
        <v>0</v>
      </c>
      <c r="S11" s="43">
        <f ca="1">'PRESIDENCIA 25-26'!T12</f>
        <v>341</v>
      </c>
    </row>
    <row r="12" spans="1:19">
      <c r="A12" s="42" t="s">
        <v>38</v>
      </c>
      <c r="B12" s="43">
        <f>'PRESIDENCIA 25-26'!C13</f>
        <v>3097</v>
      </c>
      <c r="C12" s="43" t="str">
        <f>'PRESIDENCIA 25-26'!D13</f>
        <v>NUM. PERSONAS</v>
      </c>
      <c r="D12" s="43" t="str">
        <f>'PRESIDENCIA 25-26'!E13</f>
        <v>ASCENDENTE</v>
      </c>
      <c r="E12" s="43" t="str">
        <f>'PRESIDENCIA 25-26'!F13</f>
        <v>PADRON UNICO DE BENEFICIADOS</v>
      </c>
      <c r="F12" s="44">
        <f ca="1">'PRESIDENCIA 25-26'!G13</f>
        <v>16.59670649015176</v>
      </c>
      <c r="G12" s="43">
        <f ca="1">'PRESIDENCIA 25-26'!H13</f>
        <v>442</v>
      </c>
      <c r="H12" s="43">
        <f ca="1">'PRESIDENCIA 25-26'!I13</f>
        <v>72</v>
      </c>
      <c r="I12" s="43">
        <f ca="1">'PRESIDENCIA 25-26'!J13</f>
        <v>0</v>
      </c>
      <c r="J12" s="43">
        <f ca="1">'PRESIDENCIA 25-26'!K13</f>
        <v>0</v>
      </c>
      <c r="K12" s="43">
        <f ca="1">'PRESIDENCIA 25-26'!L13</f>
        <v>0</v>
      </c>
      <c r="L12" s="43">
        <f ca="1">'PRESIDENCIA 25-26'!M13</f>
        <v>0</v>
      </c>
      <c r="M12" s="43">
        <f ca="1">'PRESIDENCIA 25-26'!N13</f>
        <v>0</v>
      </c>
      <c r="N12" s="43">
        <f ca="1">'PRESIDENCIA 25-26'!O13</f>
        <v>0</v>
      </c>
      <c r="O12" s="43">
        <f ca="1">'PRESIDENCIA 25-26'!P13</f>
        <v>0</v>
      </c>
      <c r="P12" s="43">
        <f ca="1">'PRESIDENCIA 25-26'!Q13</f>
        <v>0</v>
      </c>
      <c r="Q12" s="43">
        <f ca="1">'PRESIDENCIA 25-26'!R13</f>
        <v>0</v>
      </c>
      <c r="R12" s="43">
        <f ca="1">'PRESIDENCIA 25-26'!S13</f>
        <v>0</v>
      </c>
      <c r="S12" s="43">
        <f ca="1">'PRESIDENCIA 25-26'!T13</f>
        <v>514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S12"/>
  <sheetViews>
    <sheetView workbookViewId="0"/>
  </sheetViews>
  <sheetFormatPr baseColWidth="10" defaultColWidth="11.1640625" defaultRowHeight="15" customHeight="1"/>
  <cols>
    <col min="1" max="1" width="39.5" customWidth="1"/>
    <col min="2" max="2" width="16.1640625" customWidth="1"/>
    <col min="3" max="3" width="23.6640625" customWidth="1"/>
    <col min="4" max="4" width="28.1640625" customWidth="1"/>
    <col min="5" max="5" width="26" customWidth="1"/>
    <col min="6" max="6" width="11.1640625" customWidth="1"/>
    <col min="18" max="18" width="12.5" customWidth="1"/>
    <col min="19" max="19" width="16.1640625" customWidth="1"/>
  </cols>
  <sheetData>
    <row r="1" spans="1:19">
      <c r="A1" s="3" t="s">
        <v>5</v>
      </c>
      <c r="B1" s="3" t="s">
        <v>6</v>
      </c>
      <c r="C1" s="3" t="s">
        <v>7</v>
      </c>
      <c r="D1" s="2" t="s">
        <v>8</v>
      </c>
      <c r="E1" s="3" t="s">
        <v>9</v>
      </c>
      <c r="F1" s="3" t="s">
        <v>10</v>
      </c>
      <c r="G1" s="3" t="s">
        <v>11</v>
      </c>
      <c r="H1" s="5" t="s">
        <v>12</v>
      </c>
      <c r="I1" s="5" t="s">
        <v>13</v>
      </c>
      <c r="J1" s="6" t="s">
        <v>14</v>
      </c>
      <c r="K1" s="6" t="s">
        <v>15</v>
      </c>
      <c r="L1" s="6" t="s">
        <v>16</v>
      </c>
      <c r="M1" s="6" t="s">
        <v>17</v>
      </c>
      <c r="N1" s="6" t="s">
        <v>18</v>
      </c>
      <c r="O1" s="6" t="s">
        <v>19</v>
      </c>
      <c r="P1" s="6" t="s">
        <v>20</v>
      </c>
      <c r="Q1" s="6" t="s">
        <v>21</v>
      </c>
      <c r="R1" s="6" t="s">
        <v>22</v>
      </c>
      <c r="S1" s="2" t="s">
        <v>23</v>
      </c>
    </row>
    <row r="2" spans="1:19">
      <c r="A2" s="42" t="s">
        <v>25</v>
      </c>
      <c r="B2" s="43">
        <f>'PRESIDENCIA 26-27'!C3</f>
        <v>180</v>
      </c>
      <c r="C2" s="43" t="str">
        <f>'PRESIDENCIA 26-27'!D3</f>
        <v>CITA</v>
      </c>
      <c r="D2" s="43" t="str">
        <f>'PRESIDENCIA 26-27'!E3</f>
        <v>ASCENDENTE</v>
      </c>
      <c r="E2" s="43" t="str">
        <f>'PRESIDENCIA 26-27'!F3</f>
        <v>BITACORA DE ATENCION</v>
      </c>
      <c r="F2" s="44">
        <f ca="1">'PRESIDENCIA 26-27'!G3</f>
        <v>0</v>
      </c>
      <c r="G2" s="43">
        <f ca="1">'PRESIDENCIA 26-27'!H3</f>
        <v>0</v>
      </c>
      <c r="H2" s="43">
        <f ca="1">'PRESIDENCIA 26-27'!I3</f>
        <v>0</v>
      </c>
      <c r="I2" s="43">
        <f ca="1">'PRESIDENCIA 26-27'!J3</f>
        <v>0</v>
      </c>
      <c r="J2" s="43">
        <f ca="1">'PRESIDENCIA 26-27'!K3</f>
        <v>0</v>
      </c>
      <c r="K2" s="43">
        <f ca="1">'PRESIDENCIA 26-27'!L3</f>
        <v>0</v>
      </c>
      <c r="L2" s="43">
        <f ca="1">'PRESIDENCIA 26-27'!M3</f>
        <v>0</v>
      </c>
      <c r="M2" s="43">
        <f ca="1">'PRESIDENCIA 26-27'!N3</f>
        <v>0</v>
      </c>
      <c r="N2" s="43">
        <f ca="1">'PRESIDENCIA 26-27'!O3</f>
        <v>0</v>
      </c>
      <c r="O2" s="43">
        <f ca="1">'PRESIDENCIA 26-27'!P3</f>
        <v>0</v>
      </c>
      <c r="P2" s="43">
        <f ca="1">'PRESIDENCIA 26-27'!Q3</f>
        <v>0</v>
      </c>
      <c r="Q2" s="43">
        <f ca="1">'PRESIDENCIA 26-27'!R3</f>
        <v>0</v>
      </c>
      <c r="R2" s="43">
        <f ca="1">'PRESIDENCIA 26-27'!S3</f>
        <v>0</v>
      </c>
      <c r="S2" s="43">
        <f ca="1">'PRESIDENCIA 26-27'!T3</f>
        <v>0</v>
      </c>
    </row>
    <row r="3" spans="1:19">
      <c r="A3" s="42" t="s">
        <v>26</v>
      </c>
      <c r="B3" s="43">
        <f>'PRESIDENCIA 26-27'!C4</f>
        <v>780</v>
      </c>
      <c r="C3" s="43" t="str">
        <f>'PRESIDENCIA 26-27'!D4</f>
        <v>NÚM. DE PERSONAS</v>
      </c>
      <c r="D3" s="43" t="str">
        <f>'PRESIDENCIA 26-27'!E4</f>
        <v>ASCENDENTE</v>
      </c>
      <c r="E3" s="43" t="str">
        <f>'PRESIDENCIA 26-27'!F4</f>
        <v>BITACORA DE ATENCION</v>
      </c>
      <c r="F3" s="44">
        <f ca="1">'PRESIDENCIA 26-27'!G4</f>
        <v>0</v>
      </c>
      <c r="G3" s="43">
        <f ca="1">'PRESIDENCIA 26-27'!H4</f>
        <v>0</v>
      </c>
      <c r="H3" s="43">
        <f ca="1">'PRESIDENCIA 26-27'!I4</f>
        <v>0</v>
      </c>
      <c r="I3" s="43">
        <f ca="1">'PRESIDENCIA 26-27'!J4</f>
        <v>0</v>
      </c>
      <c r="J3" s="43">
        <f ca="1">'PRESIDENCIA 26-27'!K4</f>
        <v>0</v>
      </c>
      <c r="K3" s="43">
        <f ca="1">'PRESIDENCIA 26-27'!L4</f>
        <v>0</v>
      </c>
      <c r="L3" s="43">
        <f ca="1">'PRESIDENCIA 26-27'!M4</f>
        <v>0</v>
      </c>
      <c r="M3" s="43">
        <f ca="1">'PRESIDENCIA 26-27'!N4</f>
        <v>0</v>
      </c>
      <c r="N3" s="43">
        <f ca="1">'PRESIDENCIA 26-27'!O4</f>
        <v>0</v>
      </c>
      <c r="O3" s="43">
        <f ca="1">'PRESIDENCIA 26-27'!P4</f>
        <v>0</v>
      </c>
      <c r="P3" s="43">
        <f ca="1">'PRESIDENCIA 26-27'!Q4</f>
        <v>0</v>
      </c>
      <c r="Q3" s="43">
        <f ca="1">'PRESIDENCIA 26-27'!R4</f>
        <v>0</v>
      </c>
      <c r="R3" s="43">
        <f ca="1">'PRESIDENCIA 26-27'!S4</f>
        <v>0</v>
      </c>
      <c r="S3" s="43">
        <f ca="1">'PRESIDENCIA 26-27'!T4</f>
        <v>0</v>
      </c>
    </row>
    <row r="4" spans="1:19">
      <c r="A4" s="42" t="s">
        <v>26</v>
      </c>
      <c r="B4" s="43">
        <f>'PRESIDENCIA 26-27'!C5</f>
        <v>780</v>
      </c>
      <c r="C4" s="43" t="str">
        <f>'PRESIDENCIA 26-27'!D5</f>
        <v>NUM. PERSONAS</v>
      </c>
      <c r="D4" s="43" t="str">
        <f>'PRESIDENCIA 26-27'!E5</f>
        <v>ASCENDENTE</v>
      </c>
      <c r="E4" s="43" t="str">
        <f>'PRESIDENCIA 26-27'!F5</f>
        <v>BITACORA DE ATENCION</v>
      </c>
      <c r="F4" s="44">
        <f ca="1">'PRESIDENCIA 26-27'!G5</f>
        <v>0</v>
      </c>
      <c r="G4" s="43">
        <f ca="1">'PRESIDENCIA 26-27'!H5</f>
        <v>0</v>
      </c>
      <c r="H4" s="43">
        <f ca="1">'PRESIDENCIA 26-27'!I5</f>
        <v>0</v>
      </c>
      <c r="I4" s="43">
        <f ca="1">'PRESIDENCIA 26-27'!J5</f>
        <v>0</v>
      </c>
      <c r="J4" s="43">
        <f ca="1">'PRESIDENCIA 26-27'!K5</f>
        <v>0</v>
      </c>
      <c r="K4" s="43">
        <f ca="1">'PRESIDENCIA 26-27'!L5</f>
        <v>0</v>
      </c>
      <c r="L4" s="43">
        <f ca="1">'PRESIDENCIA 26-27'!M5</f>
        <v>0</v>
      </c>
      <c r="M4" s="43">
        <f ca="1">'PRESIDENCIA 26-27'!N5</f>
        <v>0</v>
      </c>
      <c r="N4" s="43">
        <f ca="1">'PRESIDENCIA 26-27'!O5</f>
        <v>0</v>
      </c>
      <c r="O4" s="43">
        <f ca="1">'PRESIDENCIA 26-27'!P5</f>
        <v>0</v>
      </c>
      <c r="P4" s="43">
        <f ca="1">'PRESIDENCIA 26-27'!Q5</f>
        <v>0</v>
      </c>
      <c r="Q4" s="43">
        <f ca="1">'PRESIDENCIA 26-27'!R5</f>
        <v>0</v>
      </c>
      <c r="R4" s="43">
        <f ca="1">'PRESIDENCIA 26-27'!S5</f>
        <v>0</v>
      </c>
      <c r="S4" s="43">
        <f ca="1">'PRESIDENCIA 26-27'!T5</f>
        <v>0</v>
      </c>
    </row>
    <row r="5" spans="1:19">
      <c r="A5" s="42" t="s">
        <v>28</v>
      </c>
      <c r="B5" s="43">
        <f>'PRESIDENCIA 26-27'!C6</f>
        <v>100</v>
      </c>
      <c r="C5" s="43" t="str">
        <f>'PRESIDENCIA 26-27'!D6</f>
        <v>NÚM. ACUERDOS</v>
      </c>
      <c r="D5" s="43" t="str">
        <f>'PRESIDENCIA 26-27'!E6</f>
        <v>ASCENDENTE</v>
      </c>
      <c r="E5" s="43" t="str">
        <f>'PRESIDENCIA 26-27'!F6</f>
        <v>MINUTA DE REUNION</v>
      </c>
      <c r="F5" s="44">
        <f ca="1">'PRESIDENCIA 26-27'!G6</f>
        <v>0</v>
      </c>
      <c r="G5" s="43">
        <f ca="1">'PRESIDENCIA 26-27'!H6</f>
        <v>0</v>
      </c>
      <c r="H5" s="43">
        <f ca="1">'PRESIDENCIA 26-27'!I6</f>
        <v>0</v>
      </c>
      <c r="I5" s="43">
        <f ca="1">'PRESIDENCIA 26-27'!J6</f>
        <v>0</v>
      </c>
      <c r="J5" s="43">
        <f ca="1">'PRESIDENCIA 26-27'!K6</f>
        <v>0</v>
      </c>
      <c r="K5" s="43">
        <f ca="1">'PRESIDENCIA 26-27'!L6</f>
        <v>0</v>
      </c>
      <c r="L5" s="43">
        <f ca="1">'PRESIDENCIA 26-27'!M6</f>
        <v>0</v>
      </c>
      <c r="M5" s="43">
        <f ca="1">'PRESIDENCIA 26-27'!N6</f>
        <v>0</v>
      </c>
      <c r="N5" s="43">
        <f ca="1">'PRESIDENCIA 26-27'!O6</f>
        <v>0</v>
      </c>
      <c r="O5" s="43">
        <f ca="1">'PRESIDENCIA 26-27'!P6</f>
        <v>0</v>
      </c>
      <c r="P5" s="43">
        <f ca="1">'PRESIDENCIA 26-27'!Q6</f>
        <v>0</v>
      </c>
      <c r="Q5" s="43">
        <f ca="1">'PRESIDENCIA 26-27'!R6</f>
        <v>0</v>
      </c>
      <c r="R5" s="43">
        <f ca="1">'PRESIDENCIA 26-27'!S6</f>
        <v>0</v>
      </c>
      <c r="S5" s="43">
        <f ca="1">'PRESIDENCIA 26-27'!T6</f>
        <v>0</v>
      </c>
    </row>
    <row r="6" spans="1:19">
      <c r="A6" s="42" t="s">
        <v>30</v>
      </c>
      <c r="B6" s="43">
        <f>'PRESIDENCIA 26-27'!C7</f>
        <v>350</v>
      </c>
      <c r="C6" s="43" t="str">
        <f>'PRESIDENCIA 26-27'!D7</f>
        <v>NÚM. DE SOLICITUDES</v>
      </c>
      <c r="D6" s="43" t="str">
        <f>'PRESIDENCIA 26-27'!E7</f>
        <v>ASCENDENTE</v>
      </c>
      <c r="E6" s="43" t="str">
        <f>'PRESIDENCIA 26-27'!F7</f>
        <v>PNT</v>
      </c>
      <c r="F6" s="44">
        <f ca="1">'PRESIDENCIA 26-27'!G7</f>
        <v>0</v>
      </c>
      <c r="G6" s="43">
        <f ca="1">'PRESIDENCIA 26-27'!H7</f>
        <v>0</v>
      </c>
      <c r="H6" s="43">
        <f ca="1">'PRESIDENCIA 26-27'!I7</f>
        <v>0</v>
      </c>
      <c r="I6" s="43">
        <f ca="1">'PRESIDENCIA 26-27'!J7</f>
        <v>0</v>
      </c>
      <c r="J6" s="43">
        <f ca="1">'PRESIDENCIA 26-27'!K7</f>
        <v>0</v>
      </c>
      <c r="K6" s="43">
        <f ca="1">'PRESIDENCIA 26-27'!L7</f>
        <v>0</v>
      </c>
      <c r="L6" s="43">
        <f ca="1">'PRESIDENCIA 26-27'!M7</f>
        <v>0</v>
      </c>
      <c r="M6" s="43">
        <f ca="1">'PRESIDENCIA 26-27'!N7</f>
        <v>0</v>
      </c>
      <c r="N6" s="43">
        <f ca="1">'PRESIDENCIA 26-27'!O7</f>
        <v>0</v>
      </c>
      <c r="O6" s="43">
        <f ca="1">'PRESIDENCIA 26-27'!P7</f>
        <v>0</v>
      </c>
      <c r="P6" s="43">
        <f ca="1">'PRESIDENCIA 26-27'!Q7</f>
        <v>0</v>
      </c>
      <c r="Q6" s="43">
        <f ca="1">'PRESIDENCIA 26-27'!R7</f>
        <v>0</v>
      </c>
      <c r="R6" s="43">
        <f ca="1">'PRESIDENCIA 26-27'!S7</f>
        <v>0</v>
      </c>
      <c r="S6" s="43">
        <f ca="1">'PRESIDENCIA 26-27'!T7</f>
        <v>0</v>
      </c>
    </row>
    <row r="7" spans="1:19">
      <c r="A7" s="42" t="s">
        <v>31</v>
      </c>
      <c r="B7" s="43">
        <f>'PRESIDENCIA 26-27'!C8</f>
        <v>12</v>
      </c>
      <c r="C7" s="43" t="str">
        <f>'PRESIDENCIA 26-27'!D8</f>
        <v>NÚM. DE CAPACITACIONES</v>
      </c>
      <c r="D7" s="43" t="str">
        <f>'PRESIDENCIA 26-27'!E8</f>
        <v>ASCENDENTE</v>
      </c>
      <c r="E7" s="43" t="str">
        <f>'PRESIDENCIA 26-27'!F8</f>
        <v>PROGRAMA ANUAL DE CAPACITACIONES</v>
      </c>
      <c r="F7" s="44">
        <f ca="1">'PRESIDENCIA 26-27'!G8</f>
        <v>0</v>
      </c>
      <c r="G7" s="43">
        <f ca="1">'PRESIDENCIA 26-27'!H8</f>
        <v>0</v>
      </c>
      <c r="H7" s="43">
        <f ca="1">'PRESIDENCIA 26-27'!I8</f>
        <v>0</v>
      </c>
      <c r="I7" s="43">
        <f ca="1">'PRESIDENCIA 26-27'!J8</f>
        <v>0</v>
      </c>
      <c r="J7" s="43">
        <f ca="1">'PRESIDENCIA 26-27'!K8</f>
        <v>0</v>
      </c>
      <c r="K7" s="43">
        <f ca="1">'PRESIDENCIA 26-27'!L8</f>
        <v>0</v>
      </c>
      <c r="L7" s="43">
        <f ca="1">'PRESIDENCIA 26-27'!M8</f>
        <v>0</v>
      </c>
      <c r="M7" s="43">
        <f ca="1">'PRESIDENCIA 26-27'!N8</f>
        <v>0</v>
      </c>
      <c r="N7" s="43">
        <f ca="1">'PRESIDENCIA 26-27'!O8</f>
        <v>0</v>
      </c>
      <c r="O7" s="43">
        <f ca="1">'PRESIDENCIA 26-27'!P8</f>
        <v>0</v>
      </c>
      <c r="P7" s="43">
        <f ca="1">'PRESIDENCIA 26-27'!Q8</f>
        <v>0</v>
      </c>
      <c r="Q7" s="43">
        <f ca="1">'PRESIDENCIA 26-27'!R8</f>
        <v>0</v>
      </c>
      <c r="R7" s="43">
        <f ca="1">'PRESIDENCIA 26-27'!S8</f>
        <v>0</v>
      </c>
      <c r="S7" s="43">
        <f ca="1">'PRESIDENCIA 26-27'!T8</f>
        <v>0</v>
      </c>
    </row>
    <row r="8" spans="1:19">
      <c r="A8" s="42" t="s">
        <v>33</v>
      </c>
      <c r="B8" s="43">
        <f>'PRESIDENCIA 26-27'!C9</f>
        <v>520</v>
      </c>
      <c r="C8" s="43" t="str">
        <f>'PRESIDENCIA 26-27'!D9</f>
        <v>NÚM. DE NOTAS PUBLICADAS</v>
      </c>
      <c r="D8" s="43" t="str">
        <f>'PRESIDENCIA 26-27'!E9</f>
        <v>ASCENDENTE</v>
      </c>
      <c r="E8" s="43" t="str">
        <f>'PRESIDENCIA 26-27'!F9</f>
        <v>BITACORA OPERATIVA</v>
      </c>
      <c r="F8" s="44">
        <f ca="1">'PRESIDENCIA 26-27'!G9</f>
        <v>0</v>
      </c>
      <c r="G8" s="43">
        <f ca="1">'PRESIDENCIA 26-27'!H9</f>
        <v>0</v>
      </c>
      <c r="H8" s="43">
        <f ca="1">'PRESIDENCIA 26-27'!I9</f>
        <v>0</v>
      </c>
      <c r="I8" s="43">
        <f ca="1">'PRESIDENCIA 26-27'!J9</f>
        <v>0</v>
      </c>
      <c r="J8" s="43">
        <f ca="1">'PRESIDENCIA 26-27'!K9</f>
        <v>0</v>
      </c>
      <c r="K8" s="43">
        <f ca="1">'PRESIDENCIA 26-27'!L9</f>
        <v>0</v>
      </c>
      <c r="L8" s="43">
        <f ca="1">'PRESIDENCIA 26-27'!M9</f>
        <v>0</v>
      </c>
      <c r="M8" s="43">
        <f ca="1">'PRESIDENCIA 26-27'!N9</f>
        <v>0</v>
      </c>
      <c r="N8" s="43">
        <f ca="1">'PRESIDENCIA 26-27'!O9</f>
        <v>0</v>
      </c>
      <c r="O8" s="43">
        <f ca="1">'PRESIDENCIA 26-27'!P9</f>
        <v>0</v>
      </c>
      <c r="P8" s="43">
        <f ca="1">'PRESIDENCIA 26-27'!Q9</f>
        <v>0</v>
      </c>
      <c r="Q8" s="43">
        <f ca="1">'PRESIDENCIA 26-27'!R9</f>
        <v>0</v>
      </c>
      <c r="R8" s="43">
        <f ca="1">'PRESIDENCIA 26-27'!S9</f>
        <v>0</v>
      </c>
      <c r="S8" s="43">
        <f ca="1">'PRESIDENCIA 26-27'!T9</f>
        <v>0</v>
      </c>
    </row>
    <row r="9" spans="1:19">
      <c r="A9" s="42" t="s">
        <v>34</v>
      </c>
      <c r="B9" s="43">
        <f>'PRESIDENCIA 26-27'!C10</f>
        <v>500</v>
      </c>
      <c r="C9" s="43" t="str">
        <f>'PRESIDENCIA 26-27'!D10</f>
        <v>NÚM. DE DISEÑOS REALIZADOS</v>
      </c>
      <c r="D9" s="43" t="str">
        <f>'PRESIDENCIA 26-27'!E10</f>
        <v>ASCENDENTE</v>
      </c>
      <c r="E9" s="43" t="str">
        <f>'PRESIDENCIA 26-27'!F10</f>
        <v>BITACORA OPERATIVA</v>
      </c>
      <c r="F9" s="44">
        <f ca="1">'PRESIDENCIA 26-27'!G10</f>
        <v>0</v>
      </c>
      <c r="G9" s="43">
        <f ca="1">'PRESIDENCIA 26-27'!H10</f>
        <v>0</v>
      </c>
      <c r="H9" s="43">
        <f ca="1">'PRESIDENCIA 26-27'!I10</f>
        <v>0</v>
      </c>
      <c r="I9" s="43">
        <f ca="1">'PRESIDENCIA 26-27'!J10</f>
        <v>0</v>
      </c>
      <c r="J9" s="43">
        <f ca="1">'PRESIDENCIA 26-27'!K10</f>
        <v>0</v>
      </c>
      <c r="K9" s="43">
        <f ca="1">'PRESIDENCIA 26-27'!L10</f>
        <v>0</v>
      </c>
      <c r="L9" s="43">
        <f ca="1">'PRESIDENCIA 26-27'!M10</f>
        <v>0</v>
      </c>
      <c r="M9" s="43">
        <f ca="1">'PRESIDENCIA 26-27'!N10</f>
        <v>0</v>
      </c>
      <c r="N9" s="43">
        <f ca="1">'PRESIDENCIA 26-27'!O10</f>
        <v>0</v>
      </c>
      <c r="O9" s="43">
        <f ca="1">'PRESIDENCIA 26-27'!P10</f>
        <v>0</v>
      </c>
      <c r="P9" s="43">
        <f ca="1">'PRESIDENCIA 26-27'!Q10</f>
        <v>0</v>
      </c>
      <c r="Q9" s="43">
        <f ca="1">'PRESIDENCIA 26-27'!R10</f>
        <v>0</v>
      </c>
      <c r="R9" s="43">
        <f ca="1">'PRESIDENCIA 26-27'!S10</f>
        <v>0</v>
      </c>
      <c r="S9" s="43">
        <f ca="1">'PRESIDENCIA 26-27'!T10</f>
        <v>0</v>
      </c>
    </row>
    <row r="10" spans="1:19">
      <c r="A10" s="42" t="s">
        <v>35</v>
      </c>
      <c r="B10" s="43">
        <f>'PRESIDENCIA 26-27'!C11</f>
        <v>320</v>
      </c>
      <c r="C10" s="43" t="str">
        <f>'PRESIDENCIA 26-27'!D11</f>
        <v>NÚM. DE PUBLICCIONES</v>
      </c>
      <c r="D10" s="43" t="str">
        <f>'PRESIDENCIA 26-27'!E11</f>
        <v>ASCENDENTE</v>
      </c>
      <c r="E10" s="43" t="str">
        <f>'PRESIDENCIA 26-27'!F11</f>
        <v>BITACORA OPERATIVA</v>
      </c>
      <c r="F10" s="44">
        <f ca="1">'PRESIDENCIA 26-27'!G11</f>
        <v>0</v>
      </c>
      <c r="G10" s="43">
        <f ca="1">'PRESIDENCIA 26-27'!H11</f>
        <v>0</v>
      </c>
      <c r="H10" s="43">
        <f ca="1">'PRESIDENCIA 26-27'!I11</f>
        <v>0</v>
      </c>
      <c r="I10" s="43">
        <f ca="1">'PRESIDENCIA 26-27'!J11</f>
        <v>0</v>
      </c>
      <c r="J10" s="43">
        <f ca="1">'PRESIDENCIA 26-27'!K11</f>
        <v>0</v>
      </c>
      <c r="K10" s="43">
        <f ca="1">'PRESIDENCIA 26-27'!L11</f>
        <v>0</v>
      </c>
      <c r="L10" s="43">
        <f ca="1">'PRESIDENCIA 26-27'!M11</f>
        <v>0</v>
      </c>
      <c r="M10" s="43">
        <f ca="1">'PRESIDENCIA 26-27'!N11</f>
        <v>0</v>
      </c>
      <c r="N10" s="43">
        <f ca="1">'PRESIDENCIA 26-27'!O11</f>
        <v>0</v>
      </c>
      <c r="O10" s="43">
        <f ca="1">'PRESIDENCIA 26-27'!P11</f>
        <v>0</v>
      </c>
      <c r="P10" s="43">
        <f ca="1">'PRESIDENCIA 26-27'!Q11</f>
        <v>0</v>
      </c>
      <c r="Q10" s="43">
        <f ca="1">'PRESIDENCIA 26-27'!R11</f>
        <v>0</v>
      </c>
      <c r="R10" s="43">
        <f ca="1">'PRESIDENCIA 26-27'!S11</f>
        <v>0</v>
      </c>
      <c r="S10" s="43">
        <f ca="1">'PRESIDENCIA 26-27'!T11</f>
        <v>0</v>
      </c>
    </row>
    <row r="11" spans="1:19">
      <c r="A11" s="42" t="s">
        <v>37</v>
      </c>
      <c r="B11" s="43">
        <f>'PRESIDENCIA 26-27'!C12</f>
        <v>14</v>
      </c>
      <c r="C11" s="43" t="str">
        <f>'PRESIDENCIA 26-27'!D12</f>
        <v>NÚM. DE PROGRAMAS IMPLEMENTADOS</v>
      </c>
      <c r="D11" s="43" t="str">
        <f>'PRESIDENCIA 26-27'!E12</f>
        <v>ASCENDENTE</v>
      </c>
      <c r="E11" s="43" t="str">
        <f>'PRESIDENCIA 26-27'!F12</f>
        <v>PADRON UNICO DE BENEFICIADOS</v>
      </c>
      <c r="F11" s="44">
        <f ca="1">'PRESIDENCIA 26-27'!G12</f>
        <v>0</v>
      </c>
      <c r="G11" s="43">
        <f ca="1">'PRESIDENCIA 26-27'!H12</f>
        <v>0</v>
      </c>
      <c r="H11" s="43">
        <f ca="1">'PRESIDENCIA 26-27'!I12</f>
        <v>0</v>
      </c>
      <c r="I11" s="43">
        <f ca="1">'PRESIDENCIA 26-27'!J12</f>
        <v>0</v>
      </c>
      <c r="J11" s="43">
        <f ca="1">'PRESIDENCIA 26-27'!K12</f>
        <v>0</v>
      </c>
      <c r="K11" s="43">
        <f ca="1">'PRESIDENCIA 26-27'!L12</f>
        <v>0</v>
      </c>
      <c r="L11" s="43">
        <f ca="1">'PRESIDENCIA 26-27'!M12</f>
        <v>0</v>
      </c>
      <c r="M11" s="43">
        <f ca="1">'PRESIDENCIA 26-27'!N12</f>
        <v>0</v>
      </c>
      <c r="N11" s="43">
        <f ca="1">'PRESIDENCIA 26-27'!O12</f>
        <v>0</v>
      </c>
      <c r="O11" s="43">
        <f ca="1">'PRESIDENCIA 26-27'!P12</f>
        <v>0</v>
      </c>
      <c r="P11" s="43">
        <f ca="1">'PRESIDENCIA 26-27'!Q12</f>
        <v>0</v>
      </c>
      <c r="Q11" s="43">
        <f ca="1">'PRESIDENCIA 26-27'!R12</f>
        <v>0</v>
      </c>
      <c r="R11" s="43">
        <f ca="1">'PRESIDENCIA 26-27'!S12</f>
        <v>0</v>
      </c>
      <c r="S11" s="43">
        <f ca="1">'PRESIDENCIA 26-27'!T12</f>
        <v>0</v>
      </c>
    </row>
    <row r="12" spans="1:19">
      <c r="A12" s="42" t="s">
        <v>38</v>
      </c>
      <c r="B12" s="43">
        <f>'PRESIDENCIA 26-27'!C13</f>
        <v>66</v>
      </c>
      <c r="C12" s="43" t="str">
        <f>'PRESIDENCIA 26-27'!D13</f>
        <v>NUM. PERSONAS</v>
      </c>
      <c r="D12" s="43" t="str">
        <f>'PRESIDENCIA 26-27'!E13</f>
        <v>ASCENDENTE</v>
      </c>
      <c r="E12" s="43" t="str">
        <f>'PRESIDENCIA 26-27'!F13</f>
        <v>PADRON UNICO DE BENEFICIADOS</v>
      </c>
      <c r="F12" s="44">
        <f ca="1">'PRESIDENCIA 26-27'!G13</f>
        <v>0</v>
      </c>
      <c r="G12" s="43">
        <f ca="1">'PRESIDENCIA 26-27'!H13</f>
        <v>0</v>
      </c>
      <c r="H12" s="43">
        <f ca="1">'PRESIDENCIA 26-27'!I13</f>
        <v>0</v>
      </c>
      <c r="I12" s="43">
        <f ca="1">'PRESIDENCIA 26-27'!J13</f>
        <v>0</v>
      </c>
      <c r="J12" s="43">
        <f ca="1">'PRESIDENCIA 26-27'!K13</f>
        <v>0</v>
      </c>
      <c r="K12" s="43">
        <f ca="1">'PRESIDENCIA 26-27'!L13</f>
        <v>0</v>
      </c>
      <c r="L12" s="43">
        <f ca="1">'PRESIDENCIA 26-27'!M13</f>
        <v>0</v>
      </c>
      <c r="M12" s="43">
        <f ca="1">'PRESIDENCIA 26-27'!N13</f>
        <v>0</v>
      </c>
      <c r="N12" s="43">
        <f ca="1">'PRESIDENCIA 26-27'!O13</f>
        <v>0</v>
      </c>
      <c r="O12" s="43">
        <f ca="1">'PRESIDENCIA 26-27'!P13</f>
        <v>0</v>
      </c>
      <c r="P12" s="43">
        <f ca="1">'PRESIDENCIA 26-27'!Q13</f>
        <v>0</v>
      </c>
      <c r="Q12" s="43">
        <f ca="1">'PRESIDENCIA 26-27'!R13</f>
        <v>0</v>
      </c>
      <c r="R12" s="43">
        <f ca="1">'PRESIDENCIA 26-27'!S13</f>
        <v>0</v>
      </c>
      <c r="S12" s="43">
        <f ca="1">'PRESIDENCIA 26-27'!T13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/>
  </sheetViews>
  <sheetFormatPr baseColWidth="10" defaultColWidth="11.1640625" defaultRowHeight="15" customHeight="1"/>
  <cols>
    <col min="1" max="26" width="15.6640625" customWidth="1"/>
  </cols>
  <sheetData>
    <row r="1" spans="1:26">
      <c r="A1" s="45" t="str">
        <f ca="1">IFERROR(__xludf.DUMMYFUNCTION("IMPORTRANGE(""https://docs.google.com/spreadsheets/d/1X4nNF1skS4-mQNPqsz6I8bvQQWqx_kTBRY5jVMx14L4/edit?resourcekey=&amp;gid=1799052724#gid=1799052724"",""BD PRESIDENCIA!A1:U"")"),"Marca temporal")</f>
        <v>Marca temporal</v>
      </c>
      <c r="B1" s="36" t="str">
        <f ca="1">IFERROR(__xludf.DUMMYFUNCTION("""COMPUTED_VALUE"""),"PERIODO ADMINISTRATIVO")</f>
        <v>PERIODO ADMINISTRATIVO</v>
      </c>
      <c r="C1" s="36" t="str">
        <f ca="1">IFERROR(__xludf.DUMMYFUNCTION("""COMPUTED_VALUE"""),"MES A REPOTAR")</f>
        <v>MES A REPOTAR</v>
      </c>
      <c r="D1" s="36" t="str">
        <f ca="1">IFERROR(__xludf.DUMMYFUNCTION("""COMPUTED_VALUE"""),"DEPARTAMENTO")</f>
        <v>DEPARTAMENTO</v>
      </c>
      <c r="E1" s="36" t="str">
        <f ca="1">IFERROR(__xludf.DUMMYFUNCTION("""COMPUTED_VALUE"""),"CITAS AGENDADAS")</f>
        <v>CITAS AGENDADAS</v>
      </c>
      <c r="F1" s="36" t="str">
        <f ca="1">IFERROR(__xludf.DUMMYFUNCTION("""COMPUTED_VALUE"""),"PERSONAS ATENDIDAS ")</f>
        <v xml:space="preserve">PERSONAS ATENDIDAS </v>
      </c>
      <c r="G1" s="36" t="str">
        <f ca="1">IFERROR(__xludf.DUMMYFUNCTION("""COMPUTED_VALUE"""),"PERSONAS ATENDIDAS")</f>
        <v>PERSONAS ATENDIDAS</v>
      </c>
      <c r="H1" s="36" t="str">
        <f ca="1">IFERROR(__xludf.DUMMYFUNCTION("""COMPUTED_VALUE"""),"ACUERDOS")</f>
        <v>ACUERDOS</v>
      </c>
      <c r="I1" s="36" t="str">
        <f ca="1">IFERROR(__xludf.DUMMYFUNCTION("""COMPUTED_VALUE"""),"SOLICITUDES DE INFORMACION ATENDIDAS")</f>
        <v>SOLICITUDES DE INFORMACION ATENDIDAS</v>
      </c>
      <c r="J1" s="36" t="str">
        <f ca="1">IFERROR(__xludf.DUMMYFUNCTION("""COMPUTED_VALUE"""),"CAPACITACIONES TRANSPARENCIA")</f>
        <v>CAPACITACIONES TRANSPARENCIA</v>
      </c>
      <c r="K1" s="36" t="str">
        <f ca="1">IFERROR(__xludf.DUMMYFUNCTION("""COMPUTED_VALUE"""),"NOTAS (COBERTURA DE EVENTOS)")</f>
        <v>NOTAS (COBERTURA DE EVENTOS)</v>
      </c>
      <c r="L1" s="36" t="str">
        <f ca="1">IFERROR(__xludf.DUMMYFUNCTION("""COMPUTED_VALUE"""),"DISEÑOS GENERADOS")</f>
        <v>DISEÑOS GENERADOS</v>
      </c>
      <c r="M1" s="36" t="str">
        <f ca="1">IFERROR(__xludf.DUMMYFUNCTION("""COMPUTED_VALUE"""),"PUBLICACIONES REALIZADAS")</f>
        <v>PUBLICACIONES REALIZADAS</v>
      </c>
      <c r="N1" s="36" t="str">
        <f ca="1">IFERROR(__xludf.DUMMYFUNCTION("""COMPUTED_VALUE"""),"PROGRAMAS IMPLEMENTADOS")</f>
        <v>PROGRAMAS IMPLEMENTADOS</v>
      </c>
      <c r="O1" s="36" t="str">
        <f ca="1">IFERROR(__xludf.DUMMYFUNCTION("""COMPUTED_VALUE"""),"PERSONAS BENEFICIADAS")</f>
        <v>PERSONAS BENEFICIADAS</v>
      </c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>
      <c r="A2" s="45">
        <f ca="1">IFERROR(__xludf.DUMMYFUNCTION("""COMPUTED_VALUE"""),45747.4994422222)</f>
        <v>45747.499442222201</v>
      </c>
      <c r="B2" s="36" t="str">
        <f ca="1">IFERROR(__xludf.DUMMYFUNCTION("""COMPUTED_VALUE"""),"OCTUBRE 2024 - SEPTIEMBRE 2025")</f>
        <v>OCTUBRE 2024 - SEPTIEMBRE 2025</v>
      </c>
      <c r="C2" s="36" t="str">
        <f ca="1">IFERROR(__xludf.DUMMYFUNCTION("""COMPUTED_VALUE"""),"ENERO")</f>
        <v>ENERO</v>
      </c>
      <c r="D2" s="36" t="str">
        <f ca="1">IFERROR(__xludf.DUMMYFUNCTION("""COMPUTED_VALUE"""),"PRESIDENCIA")</f>
        <v>PRESIDENCIA</v>
      </c>
      <c r="E2" s="36">
        <f ca="1">IFERROR(__xludf.DUMMYFUNCTION("""COMPUTED_VALUE"""),30)</f>
        <v>30</v>
      </c>
      <c r="F2" s="36">
        <f ca="1">IFERROR(__xludf.DUMMYFUNCTION("""COMPUTED_VALUE"""),50)</f>
        <v>50</v>
      </c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>
      <c r="A3" s="45">
        <f ca="1">IFERROR(__xludf.DUMMYFUNCTION("""COMPUTED_VALUE"""),45761.5531528125)</f>
        <v>45761.553152812499</v>
      </c>
      <c r="B3" s="36" t="str">
        <f ca="1">IFERROR(__xludf.DUMMYFUNCTION("""COMPUTED_VALUE"""),"OCTUBRE 2024 - SEPTIEMBRE 2025")</f>
        <v>OCTUBRE 2024 - SEPTIEMBRE 2025</v>
      </c>
      <c r="C3" s="36" t="str">
        <f ca="1">IFERROR(__xludf.DUMMYFUNCTION("""COMPUTED_VALUE"""),"OCTUBRE")</f>
        <v>OCTUBRE</v>
      </c>
      <c r="D3" s="36" t="str">
        <f ca="1">IFERROR(__xludf.DUMMYFUNCTION("""COMPUTED_VALUE"""),"TRANSPARENCIA")</f>
        <v>TRANSPARENCIA</v>
      </c>
      <c r="E3" s="36"/>
      <c r="F3" s="36"/>
      <c r="G3" s="36"/>
      <c r="H3" s="36"/>
      <c r="I3" s="36">
        <f ca="1">IFERROR(__xludf.DUMMYFUNCTION("""COMPUTED_VALUE"""),41)</f>
        <v>41</v>
      </c>
      <c r="J3" s="36">
        <f ca="1">IFERROR(__xludf.DUMMYFUNCTION("""COMPUTED_VALUE"""),1)</f>
        <v>1</v>
      </c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>
      <c r="A4" s="45">
        <f ca="1">IFERROR(__xludf.DUMMYFUNCTION("""COMPUTED_VALUE"""),45761.5535748148)</f>
        <v>45761.553574814803</v>
      </c>
      <c r="B4" s="36" t="str">
        <f ca="1">IFERROR(__xludf.DUMMYFUNCTION("""COMPUTED_VALUE"""),"OCTUBRE 2024 - SEPTIEMBRE 2025")</f>
        <v>OCTUBRE 2024 - SEPTIEMBRE 2025</v>
      </c>
      <c r="C4" s="36" t="str">
        <f ca="1">IFERROR(__xludf.DUMMYFUNCTION("""COMPUTED_VALUE"""),"NOVIEMBRE")</f>
        <v>NOVIEMBRE</v>
      </c>
      <c r="D4" s="36" t="str">
        <f ca="1">IFERROR(__xludf.DUMMYFUNCTION("""COMPUTED_VALUE"""),"TRANSPARENCIA")</f>
        <v>TRANSPARENCIA</v>
      </c>
      <c r="E4" s="36"/>
      <c r="F4" s="36"/>
      <c r="G4" s="36"/>
      <c r="H4" s="36"/>
      <c r="I4" s="36">
        <f ca="1">IFERROR(__xludf.DUMMYFUNCTION("""COMPUTED_VALUE"""),60)</f>
        <v>60</v>
      </c>
      <c r="J4" s="36">
        <f ca="1">IFERROR(__xludf.DUMMYFUNCTION("""COMPUTED_VALUE"""),1)</f>
        <v>1</v>
      </c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>
      <c r="A5" s="45">
        <f ca="1">IFERROR(__xludf.DUMMYFUNCTION("""COMPUTED_VALUE"""),45761.5659039814)</f>
        <v>45761.565903981398</v>
      </c>
      <c r="B5" s="36" t="str">
        <f ca="1">IFERROR(__xludf.DUMMYFUNCTION("""COMPUTED_VALUE"""),"OCTUBRE 2024 - SEPTIEMBRE 2025")</f>
        <v>OCTUBRE 2024 - SEPTIEMBRE 2025</v>
      </c>
      <c r="C5" s="36" t="str">
        <f ca="1">IFERROR(__xludf.DUMMYFUNCTION("""COMPUTED_VALUE"""),"DICIEMBRE")</f>
        <v>DICIEMBRE</v>
      </c>
      <c r="D5" s="36" t="str">
        <f ca="1">IFERROR(__xludf.DUMMYFUNCTION("""COMPUTED_VALUE"""),"TRANSPARENCIA")</f>
        <v>TRANSPARENCIA</v>
      </c>
      <c r="E5" s="36"/>
      <c r="F5" s="36"/>
      <c r="G5" s="36"/>
      <c r="H5" s="36"/>
      <c r="I5" s="36">
        <f ca="1">IFERROR(__xludf.DUMMYFUNCTION("""COMPUTED_VALUE"""),39)</f>
        <v>39</v>
      </c>
      <c r="J5" s="36">
        <f ca="1">IFERROR(__xludf.DUMMYFUNCTION("""COMPUTED_VALUE"""),1)</f>
        <v>1</v>
      </c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>
      <c r="A6" s="45">
        <f ca="1">IFERROR(__xludf.DUMMYFUNCTION("""COMPUTED_VALUE"""),45761.5661911226)</f>
        <v>45761.566191122598</v>
      </c>
      <c r="B6" s="36" t="str">
        <f ca="1">IFERROR(__xludf.DUMMYFUNCTION("""COMPUTED_VALUE"""),"OCTUBRE 2024 - SEPTIEMBRE 2025")</f>
        <v>OCTUBRE 2024 - SEPTIEMBRE 2025</v>
      </c>
      <c r="C6" s="36" t="str">
        <f ca="1">IFERROR(__xludf.DUMMYFUNCTION("""COMPUTED_VALUE"""),"ENERO")</f>
        <v>ENERO</v>
      </c>
      <c r="D6" s="36" t="str">
        <f ca="1">IFERROR(__xludf.DUMMYFUNCTION("""COMPUTED_VALUE"""),"TRANSPARENCIA")</f>
        <v>TRANSPARENCIA</v>
      </c>
      <c r="E6" s="36"/>
      <c r="F6" s="36"/>
      <c r="G6" s="36"/>
      <c r="H6" s="36"/>
      <c r="I6" s="36">
        <f ca="1">IFERROR(__xludf.DUMMYFUNCTION("""COMPUTED_VALUE"""),52)</f>
        <v>52</v>
      </c>
      <c r="J6" s="36">
        <f ca="1">IFERROR(__xludf.DUMMYFUNCTION("""COMPUTED_VALUE"""),1)</f>
        <v>1</v>
      </c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>
      <c r="A7" s="45">
        <f ca="1">IFERROR(__xludf.DUMMYFUNCTION("""COMPUTED_VALUE"""),45761.5664774074)</f>
        <v>45761.566477407403</v>
      </c>
      <c r="B7" s="36" t="str">
        <f ca="1">IFERROR(__xludf.DUMMYFUNCTION("""COMPUTED_VALUE"""),"OCTUBRE 2024 - SEPTIEMBRE 2025")</f>
        <v>OCTUBRE 2024 - SEPTIEMBRE 2025</v>
      </c>
      <c r="C7" s="36" t="str">
        <f ca="1">IFERROR(__xludf.DUMMYFUNCTION("""COMPUTED_VALUE"""),"FEBRERO")</f>
        <v>FEBRERO</v>
      </c>
      <c r="D7" s="36" t="str">
        <f ca="1">IFERROR(__xludf.DUMMYFUNCTION("""COMPUTED_VALUE"""),"TRANSPARENCIA")</f>
        <v>TRANSPARENCIA</v>
      </c>
      <c r="E7" s="36"/>
      <c r="F7" s="36"/>
      <c r="G7" s="36"/>
      <c r="H7" s="36"/>
      <c r="I7" s="36">
        <f ca="1">IFERROR(__xludf.DUMMYFUNCTION("""COMPUTED_VALUE"""),56)</f>
        <v>56</v>
      </c>
      <c r="J7" s="36">
        <f ca="1">IFERROR(__xludf.DUMMYFUNCTION("""COMPUTED_VALUE"""),1)</f>
        <v>1</v>
      </c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>
      <c r="A8" s="45">
        <f ca="1">IFERROR(__xludf.DUMMYFUNCTION("""COMPUTED_VALUE"""),45761.5667633333)</f>
        <v>45761.5667633333</v>
      </c>
      <c r="B8" s="36" t="str">
        <f ca="1">IFERROR(__xludf.DUMMYFUNCTION("""COMPUTED_VALUE"""),"OCTUBRE 2024 - SEPTIEMBRE 2025")</f>
        <v>OCTUBRE 2024 - SEPTIEMBRE 2025</v>
      </c>
      <c r="C8" s="36" t="str">
        <f ca="1">IFERROR(__xludf.DUMMYFUNCTION("""COMPUTED_VALUE"""),"MARZO")</f>
        <v>MARZO</v>
      </c>
      <c r="D8" s="36" t="str">
        <f ca="1">IFERROR(__xludf.DUMMYFUNCTION("""COMPUTED_VALUE"""),"TRANSPARENCIA")</f>
        <v>TRANSPARENCIA</v>
      </c>
      <c r="E8" s="36"/>
      <c r="F8" s="36"/>
      <c r="G8" s="36"/>
      <c r="H8" s="36"/>
      <c r="I8" s="36">
        <f ca="1">IFERROR(__xludf.DUMMYFUNCTION("""COMPUTED_VALUE"""),63)</f>
        <v>63</v>
      </c>
      <c r="J8" s="36">
        <f ca="1">IFERROR(__xludf.DUMMYFUNCTION("""COMPUTED_VALUE"""),1)</f>
        <v>1</v>
      </c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>
      <c r="A9" s="45">
        <f ca="1">IFERROR(__xludf.DUMMYFUNCTION("""COMPUTED_VALUE"""),45859.4766037037)</f>
        <v>45859.476603703697</v>
      </c>
      <c r="B9" s="36" t="str">
        <f ca="1">IFERROR(__xludf.DUMMYFUNCTION("""COMPUTED_VALUE"""),"OCTUBRE 2024 - SEPTIEMBRE 2025")</f>
        <v>OCTUBRE 2024 - SEPTIEMBRE 2025</v>
      </c>
      <c r="C9" s="36" t="str">
        <f ca="1">IFERROR(__xludf.DUMMYFUNCTION("""COMPUTED_VALUE"""),"ABRIL")</f>
        <v>ABRIL</v>
      </c>
      <c r="D9" s="36" t="str">
        <f ca="1">IFERROR(__xludf.DUMMYFUNCTION("""COMPUTED_VALUE"""),"PRESIDENCIA")</f>
        <v>PRESIDENCIA</v>
      </c>
      <c r="E9" s="36">
        <f ca="1">IFERROR(__xludf.DUMMYFUNCTION("""COMPUTED_VALUE"""),17)</f>
        <v>17</v>
      </c>
      <c r="F9" s="36">
        <f ca="1">IFERROR(__xludf.DUMMYFUNCTION("""COMPUTED_VALUE"""),58)</f>
        <v>58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>
      <c r="A10" s="45">
        <f ca="1">IFERROR(__xludf.DUMMYFUNCTION("""COMPUTED_VALUE"""),45859.4768584606)</f>
        <v>45859.476858460599</v>
      </c>
      <c r="B10" s="36" t="str">
        <f ca="1">IFERROR(__xludf.DUMMYFUNCTION("""COMPUTED_VALUE"""),"OCTUBRE 2024 - SEPTIEMBRE 2025")</f>
        <v>OCTUBRE 2024 - SEPTIEMBRE 2025</v>
      </c>
      <c r="C10" s="36" t="str">
        <f ca="1">IFERROR(__xludf.DUMMYFUNCTION("""COMPUTED_VALUE"""),"MAYO")</f>
        <v>MAYO</v>
      </c>
      <c r="D10" s="36" t="str">
        <f ca="1">IFERROR(__xludf.DUMMYFUNCTION("""COMPUTED_VALUE"""),"ASUNTOS DEL INTERIOR")</f>
        <v>ASUNTOS DEL INTERIOR</v>
      </c>
      <c r="E10" s="36"/>
      <c r="F10" s="36"/>
      <c r="G10" s="36">
        <f ca="1">IFERROR(__xludf.DUMMYFUNCTION("""COMPUTED_VALUE"""),13)</f>
        <v>13</v>
      </c>
      <c r="H10" s="36">
        <f ca="1">IFERROR(__xludf.DUMMYFUNCTION("""COMPUTED_VALUE"""),3)</f>
        <v>3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>
      <c r="A11" s="45">
        <f ca="1">IFERROR(__xludf.DUMMYFUNCTION("""COMPUTED_VALUE"""),45859.4787948263)</f>
        <v>45859.478794826297</v>
      </c>
      <c r="B11" s="36" t="str">
        <f ca="1">IFERROR(__xludf.DUMMYFUNCTION("""COMPUTED_VALUE"""),"OCTUBRE 2024 - SEPTIEMBRE 2025")</f>
        <v>OCTUBRE 2024 - SEPTIEMBRE 2025</v>
      </c>
      <c r="C11" s="36" t="str">
        <f ca="1">IFERROR(__xludf.DUMMYFUNCTION("""COMPUTED_VALUE"""),"ABRIL")</f>
        <v>ABRIL</v>
      </c>
      <c r="D11" s="36" t="str">
        <f ca="1">IFERROR(__xludf.DUMMYFUNCTION("""COMPUTED_VALUE"""),"TRANSPARENCIA")</f>
        <v>TRANSPARENCIA</v>
      </c>
      <c r="E11" s="36"/>
      <c r="F11" s="36"/>
      <c r="G11" s="36"/>
      <c r="H11" s="36"/>
      <c r="I11" s="36">
        <f ca="1">IFERROR(__xludf.DUMMYFUNCTION("""COMPUTED_VALUE"""),30)</f>
        <v>30</v>
      </c>
      <c r="J11" s="36">
        <f ca="1">IFERROR(__xludf.DUMMYFUNCTION("""COMPUTED_VALUE"""),1)</f>
        <v>1</v>
      </c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>
      <c r="A12" s="45">
        <f ca="1">IFERROR(__xludf.DUMMYFUNCTION("""COMPUTED_VALUE"""),45859.4793694907)</f>
        <v>45859.479369490698</v>
      </c>
      <c r="B12" s="36" t="str">
        <f ca="1">IFERROR(__xludf.DUMMYFUNCTION("""COMPUTED_VALUE"""),"OCTUBRE 2024 - SEPTIEMBRE 2025")</f>
        <v>OCTUBRE 2024 - SEPTIEMBRE 2025</v>
      </c>
      <c r="C12" s="36" t="str">
        <f ca="1">IFERROR(__xludf.DUMMYFUNCTION("""COMPUTED_VALUE"""),"ABRIL")</f>
        <v>ABRIL</v>
      </c>
      <c r="D12" s="36" t="str">
        <f ca="1">IFERROR(__xludf.DUMMYFUNCTION("""COMPUTED_VALUE"""),"COMUNICACION SOCIAL")</f>
        <v>COMUNICACION SOCIAL</v>
      </c>
      <c r="E12" s="36"/>
      <c r="F12" s="36"/>
      <c r="G12" s="36"/>
      <c r="H12" s="36"/>
      <c r="I12" s="36"/>
      <c r="J12" s="36"/>
      <c r="K12" s="36">
        <f ca="1">IFERROR(__xludf.DUMMYFUNCTION("""COMPUTED_VALUE"""),37)</f>
        <v>37</v>
      </c>
      <c r="L12" s="36">
        <f ca="1">IFERROR(__xludf.DUMMYFUNCTION("""COMPUTED_VALUE"""),76)</f>
        <v>76</v>
      </c>
      <c r="M12" s="36">
        <f ca="1">IFERROR(__xludf.DUMMYFUNCTION("""COMPUTED_VALUE"""),155)</f>
        <v>155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>
      <c r="A13" s="45">
        <f ca="1">IFERROR(__xludf.DUMMYFUNCTION("""COMPUTED_VALUE"""),45859.479599155)</f>
        <v>45859.479599154998</v>
      </c>
      <c r="B13" s="36" t="str">
        <f ca="1">IFERROR(__xludf.DUMMYFUNCTION("""COMPUTED_VALUE"""),"OCTUBRE 2024 - SEPTIEMBRE 2025")</f>
        <v>OCTUBRE 2024 - SEPTIEMBRE 2025</v>
      </c>
      <c r="C13" s="36" t="str">
        <f ca="1">IFERROR(__xludf.DUMMYFUNCTION("""COMPUTED_VALUE"""),"ABRIL")</f>
        <v>ABRIL</v>
      </c>
      <c r="D13" s="36" t="str">
        <f ca="1">IFERROR(__xludf.DUMMYFUNCTION("""COMPUTED_VALUE"""),"GESTION DE PROYECTOS")</f>
        <v>GESTION DE PROYECTOS</v>
      </c>
      <c r="E13" s="36"/>
      <c r="F13" s="36"/>
      <c r="G13" s="36"/>
      <c r="H13" s="36"/>
      <c r="I13" s="36"/>
      <c r="J13" s="36"/>
      <c r="K13" s="36"/>
      <c r="L13" s="36"/>
      <c r="M13" s="36"/>
      <c r="N13" s="36">
        <f ca="1">IFERROR(__xludf.DUMMYFUNCTION("""COMPUTED_VALUE"""),3)</f>
        <v>3</v>
      </c>
      <c r="O13" s="36">
        <f ca="1">IFERROR(__xludf.DUMMYFUNCTION("""COMPUTED_VALUE"""),253)</f>
        <v>253</v>
      </c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>
      <c r="A14" s="45">
        <f ca="1">IFERROR(__xludf.DUMMYFUNCTION("""COMPUTED_VALUE"""),45859.4798284837)</f>
        <v>45859.479828483702</v>
      </c>
      <c r="B14" s="36" t="str">
        <f ca="1">IFERROR(__xludf.DUMMYFUNCTION("""COMPUTED_VALUE"""),"OCTUBRE 2024 - SEPTIEMBRE 2025")</f>
        <v>OCTUBRE 2024 - SEPTIEMBRE 2025</v>
      </c>
      <c r="C14" s="36" t="str">
        <f ca="1">IFERROR(__xludf.DUMMYFUNCTION("""COMPUTED_VALUE"""),"MAYO")</f>
        <v>MAYO</v>
      </c>
      <c r="D14" s="36" t="str">
        <f ca="1">IFERROR(__xludf.DUMMYFUNCTION("""COMPUTED_VALUE"""),"PRESIDENCIA")</f>
        <v>PRESIDENCIA</v>
      </c>
      <c r="E14" s="36">
        <f ca="1">IFERROR(__xludf.DUMMYFUNCTION("""COMPUTED_VALUE"""),23)</f>
        <v>23</v>
      </c>
      <c r="F14" s="36">
        <f ca="1">IFERROR(__xludf.DUMMYFUNCTION("""COMPUTED_VALUE"""),101)</f>
        <v>101</v>
      </c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>
      <c r="A15" s="45">
        <f ca="1">IFERROR(__xludf.DUMMYFUNCTION("""COMPUTED_VALUE"""),45859.4805692013)</f>
        <v>45859.480569201303</v>
      </c>
      <c r="B15" s="36" t="str">
        <f ca="1">IFERROR(__xludf.DUMMYFUNCTION("""COMPUTED_VALUE"""),"OCTUBRE 2024 - SEPTIEMBRE 2025")</f>
        <v>OCTUBRE 2024 - SEPTIEMBRE 2025</v>
      </c>
      <c r="C15" s="36" t="str">
        <f ca="1">IFERROR(__xludf.DUMMYFUNCTION("""COMPUTED_VALUE"""),"MAYO")</f>
        <v>MAYO</v>
      </c>
      <c r="D15" s="36" t="str">
        <f ca="1">IFERROR(__xludf.DUMMYFUNCTION("""COMPUTED_VALUE"""),"PRESIDENCIA")</f>
        <v>PRESIDENCIA</v>
      </c>
      <c r="E15" s="36">
        <f ca="1">IFERROR(__xludf.DUMMYFUNCTION("""COMPUTED_VALUE"""),31)</f>
        <v>31</v>
      </c>
      <c r="F15" s="36">
        <f ca="1">IFERROR(__xludf.DUMMYFUNCTION("""COMPUTED_VALUE"""),100)</f>
        <v>100</v>
      </c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>
      <c r="A16" s="45">
        <f ca="1">IFERROR(__xludf.DUMMYFUNCTION("""COMPUTED_VALUE"""),45859.4810027893)</f>
        <v>45859.481002789304</v>
      </c>
      <c r="B16" s="36" t="str">
        <f ca="1">IFERROR(__xludf.DUMMYFUNCTION("""COMPUTED_VALUE"""),"OCTUBRE 2024 - SEPTIEMBRE 2025")</f>
        <v>OCTUBRE 2024 - SEPTIEMBRE 2025</v>
      </c>
      <c r="C16" s="36" t="str">
        <f ca="1">IFERROR(__xludf.DUMMYFUNCTION("""COMPUTED_VALUE"""),"MAYO")</f>
        <v>MAYO</v>
      </c>
      <c r="D16" s="36" t="str">
        <f ca="1">IFERROR(__xludf.DUMMYFUNCTION("""COMPUTED_VALUE"""),"ASUNTOS DEL INTERIOR")</f>
        <v>ASUNTOS DEL INTERIOR</v>
      </c>
      <c r="E16" s="36"/>
      <c r="F16" s="36"/>
      <c r="G16" s="36">
        <f ca="1">IFERROR(__xludf.DUMMYFUNCTION("""COMPUTED_VALUE"""),22)</f>
        <v>22</v>
      </c>
      <c r="H16" s="36">
        <f ca="1">IFERROR(__xludf.DUMMYFUNCTION("""COMPUTED_VALUE"""),8)</f>
        <v>8</v>
      </c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>
      <c r="A17" s="45">
        <f ca="1">IFERROR(__xludf.DUMMYFUNCTION("""COMPUTED_VALUE"""),45859.4812330671)</f>
        <v>45859.481233067097</v>
      </c>
      <c r="B17" s="36" t="str">
        <f ca="1">IFERROR(__xludf.DUMMYFUNCTION("""COMPUTED_VALUE"""),"OCTUBRE 2024 - SEPTIEMBRE 2025")</f>
        <v>OCTUBRE 2024 - SEPTIEMBRE 2025</v>
      </c>
      <c r="C17" s="36" t="str">
        <f ca="1">IFERROR(__xludf.DUMMYFUNCTION("""COMPUTED_VALUE"""),"JUNIO")</f>
        <v>JUNIO</v>
      </c>
      <c r="D17" s="36" t="str">
        <f ca="1">IFERROR(__xludf.DUMMYFUNCTION("""COMPUTED_VALUE"""),"ASUNTOS DEL INTERIOR")</f>
        <v>ASUNTOS DEL INTERIOR</v>
      </c>
      <c r="E17" s="36"/>
      <c r="F17" s="36"/>
      <c r="G17" s="36">
        <f ca="1">IFERROR(__xludf.DUMMYFUNCTION("""COMPUTED_VALUE"""),20)</f>
        <v>20</v>
      </c>
      <c r="H17" s="36">
        <f ca="1">IFERROR(__xludf.DUMMYFUNCTION("""COMPUTED_VALUE"""),6)</f>
        <v>6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>
      <c r="A18" s="45">
        <f ca="1">IFERROR(__xludf.DUMMYFUNCTION("""COMPUTED_VALUE"""),45859.4815023958)</f>
        <v>45859.4815023958</v>
      </c>
      <c r="B18" s="36" t="str">
        <f ca="1">IFERROR(__xludf.DUMMYFUNCTION("""COMPUTED_VALUE"""),"OCTUBRE 2024 - SEPTIEMBRE 2025")</f>
        <v>OCTUBRE 2024 - SEPTIEMBRE 2025</v>
      </c>
      <c r="C18" s="36" t="str">
        <f ca="1">IFERROR(__xludf.DUMMYFUNCTION("""COMPUTED_VALUE"""),"MAYO")</f>
        <v>MAYO</v>
      </c>
      <c r="D18" s="36" t="str">
        <f ca="1">IFERROR(__xludf.DUMMYFUNCTION("""COMPUTED_VALUE"""),"TRANSPARENCIA")</f>
        <v>TRANSPARENCIA</v>
      </c>
      <c r="E18" s="36"/>
      <c r="F18" s="36"/>
      <c r="G18" s="36"/>
      <c r="H18" s="36"/>
      <c r="I18" s="36">
        <f ca="1">IFERROR(__xludf.DUMMYFUNCTION("""COMPUTED_VALUE"""),42)</f>
        <v>42</v>
      </c>
      <c r="J18" s="36">
        <f ca="1">IFERROR(__xludf.DUMMYFUNCTION("""COMPUTED_VALUE"""),2)</f>
        <v>2</v>
      </c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>
      <c r="A19" s="45">
        <f ca="1">IFERROR(__xludf.DUMMYFUNCTION("""COMPUTED_VALUE"""),45859.4817496643)</f>
        <v>45859.481749664301</v>
      </c>
      <c r="B19" s="36" t="str">
        <f ca="1">IFERROR(__xludf.DUMMYFUNCTION("""COMPUTED_VALUE"""),"OCTUBRE 2024 - SEPTIEMBRE 2025")</f>
        <v>OCTUBRE 2024 - SEPTIEMBRE 2025</v>
      </c>
      <c r="C19" s="36" t="str">
        <f ca="1">IFERROR(__xludf.DUMMYFUNCTION("""COMPUTED_VALUE"""),"JUNIO")</f>
        <v>JUNIO</v>
      </c>
      <c r="D19" s="36" t="str">
        <f ca="1">IFERROR(__xludf.DUMMYFUNCTION("""COMPUTED_VALUE"""),"TRANSPARENCIA")</f>
        <v>TRANSPARENCIA</v>
      </c>
      <c r="E19" s="36"/>
      <c r="F19" s="36"/>
      <c r="G19" s="36"/>
      <c r="H19" s="36"/>
      <c r="I19" s="36">
        <f ca="1">IFERROR(__xludf.DUMMYFUNCTION("""COMPUTED_VALUE"""),33)</f>
        <v>33</v>
      </c>
      <c r="J19" s="36">
        <f ca="1">IFERROR(__xludf.DUMMYFUNCTION("""COMPUTED_VALUE"""),1)</f>
        <v>1</v>
      </c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>
      <c r="A20" s="45">
        <f ca="1">IFERROR(__xludf.DUMMYFUNCTION("""COMPUTED_VALUE"""),45859.4820775347)</f>
        <v>45859.482077534703</v>
      </c>
      <c r="B20" s="36" t="str">
        <f ca="1">IFERROR(__xludf.DUMMYFUNCTION("""COMPUTED_VALUE"""),"OCTUBRE 2024 - SEPTIEMBRE 2025")</f>
        <v>OCTUBRE 2024 - SEPTIEMBRE 2025</v>
      </c>
      <c r="C20" s="36" t="str">
        <f ca="1">IFERROR(__xludf.DUMMYFUNCTION("""COMPUTED_VALUE"""),"MAYO")</f>
        <v>MAYO</v>
      </c>
      <c r="D20" s="36" t="str">
        <f ca="1">IFERROR(__xludf.DUMMYFUNCTION("""COMPUTED_VALUE"""),"COMUNICACION SOCIAL")</f>
        <v>COMUNICACION SOCIAL</v>
      </c>
      <c r="E20" s="36"/>
      <c r="F20" s="36"/>
      <c r="G20" s="36"/>
      <c r="H20" s="36"/>
      <c r="I20" s="36"/>
      <c r="J20" s="36"/>
      <c r="K20" s="36">
        <f ca="1">IFERROR(__xludf.DUMMYFUNCTION("""COMPUTED_VALUE"""),45)</f>
        <v>45</v>
      </c>
      <c r="L20" s="36">
        <f ca="1">IFERROR(__xludf.DUMMYFUNCTION("""COMPUTED_VALUE"""),58)</f>
        <v>58</v>
      </c>
      <c r="M20" s="36">
        <f ca="1">IFERROR(__xludf.DUMMYFUNCTION("""COMPUTED_VALUE"""),207)</f>
        <v>207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>
      <c r="A21" s="45">
        <f ca="1">IFERROR(__xludf.DUMMYFUNCTION("""COMPUTED_VALUE"""),45859.4823839814)</f>
        <v>45859.482383981398</v>
      </c>
      <c r="B21" s="36" t="str">
        <f ca="1">IFERROR(__xludf.DUMMYFUNCTION("""COMPUTED_VALUE"""),"OCTUBRE 2024 - SEPTIEMBRE 2025")</f>
        <v>OCTUBRE 2024 - SEPTIEMBRE 2025</v>
      </c>
      <c r="C21" s="36" t="str">
        <f ca="1">IFERROR(__xludf.DUMMYFUNCTION("""COMPUTED_VALUE"""),"JUNIO")</f>
        <v>JUNIO</v>
      </c>
      <c r="D21" s="36" t="str">
        <f ca="1">IFERROR(__xludf.DUMMYFUNCTION("""COMPUTED_VALUE"""),"COMUNICACION SOCIAL")</f>
        <v>COMUNICACION SOCIAL</v>
      </c>
      <c r="E21" s="36"/>
      <c r="F21" s="36"/>
      <c r="G21" s="36"/>
      <c r="H21" s="36"/>
      <c r="I21" s="36"/>
      <c r="J21" s="36"/>
      <c r="K21" s="36">
        <f ca="1">IFERROR(__xludf.DUMMYFUNCTION("""COMPUTED_VALUE"""),53)</f>
        <v>53</v>
      </c>
      <c r="L21" s="36">
        <f ca="1">IFERROR(__xludf.DUMMYFUNCTION("""COMPUTED_VALUE"""),73)</f>
        <v>73</v>
      </c>
      <c r="M21" s="36">
        <f ca="1">IFERROR(__xludf.DUMMYFUNCTION("""COMPUTED_VALUE"""),189)</f>
        <v>189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>
      <c r="A22" s="45">
        <f ca="1">IFERROR(__xludf.DUMMYFUNCTION("""COMPUTED_VALUE"""),45859.4825997453)</f>
        <v>45859.482599745301</v>
      </c>
      <c r="B22" s="36" t="str">
        <f ca="1">IFERROR(__xludf.DUMMYFUNCTION("""COMPUTED_VALUE"""),"OCTUBRE 2024 - SEPTIEMBRE 2025")</f>
        <v>OCTUBRE 2024 - SEPTIEMBRE 2025</v>
      </c>
      <c r="C22" s="36" t="str">
        <f ca="1">IFERROR(__xludf.DUMMYFUNCTION("""COMPUTED_VALUE"""),"MAYO")</f>
        <v>MAYO</v>
      </c>
      <c r="D22" s="36" t="str">
        <f ca="1">IFERROR(__xludf.DUMMYFUNCTION("""COMPUTED_VALUE"""),"GESTION DE PROYECTOS")</f>
        <v>GESTION DE PROYECTOS</v>
      </c>
      <c r="E22" s="36"/>
      <c r="F22" s="36"/>
      <c r="G22" s="36"/>
      <c r="H22" s="36"/>
      <c r="I22" s="36"/>
      <c r="J22" s="36"/>
      <c r="K22" s="36"/>
      <c r="L22" s="36"/>
      <c r="M22" s="36"/>
      <c r="N22" s="36">
        <f ca="1">IFERROR(__xludf.DUMMYFUNCTION("""COMPUTED_VALUE"""),5)</f>
        <v>5</v>
      </c>
      <c r="O22" s="36">
        <f ca="1">IFERROR(__xludf.DUMMYFUNCTION("""COMPUTED_VALUE"""),326)</f>
        <v>326</v>
      </c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>
      <c r="A23" s="45">
        <f ca="1">IFERROR(__xludf.DUMMYFUNCTION("""COMPUTED_VALUE"""),45859.4827699768)</f>
        <v>45859.482769976799</v>
      </c>
      <c r="B23" s="36" t="str">
        <f ca="1">IFERROR(__xludf.DUMMYFUNCTION("""COMPUTED_VALUE"""),"OCTUBRE 2024 - SEPTIEMBRE 2025")</f>
        <v>OCTUBRE 2024 - SEPTIEMBRE 2025</v>
      </c>
      <c r="C23" s="36" t="str">
        <f ca="1">IFERROR(__xludf.DUMMYFUNCTION("""COMPUTED_VALUE"""),"JUNIO")</f>
        <v>JUNIO</v>
      </c>
      <c r="D23" s="36" t="str">
        <f ca="1">IFERROR(__xludf.DUMMYFUNCTION("""COMPUTED_VALUE"""),"GESTION DE PROYECTOS")</f>
        <v>GESTION DE PROYECTOS</v>
      </c>
      <c r="E23" s="36"/>
      <c r="F23" s="36"/>
      <c r="G23" s="36"/>
      <c r="H23" s="36"/>
      <c r="I23" s="36"/>
      <c r="J23" s="36"/>
      <c r="K23" s="36"/>
      <c r="L23" s="36"/>
      <c r="M23" s="36"/>
      <c r="N23" s="36">
        <f ca="1">IFERROR(__xludf.DUMMYFUNCTION("""COMPUTED_VALUE"""),3)</f>
        <v>3</v>
      </c>
      <c r="O23" s="36">
        <f ca="1">IFERROR(__xludf.DUMMYFUNCTION("""COMPUTED_VALUE"""),250)</f>
        <v>250</v>
      </c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>
      <c r="A24" s="45">
        <f ca="1">IFERROR(__xludf.DUMMYFUNCTION("""COMPUTED_VALUE"""),45861.4244924537)</f>
        <v>45861.424492453698</v>
      </c>
      <c r="B24" s="36" t="str">
        <f ca="1">IFERROR(__xludf.DUMMYFUNCTION("""COMPUTED_VALUE"""),"OCTUBRE 2024 - SEPTIEMBRE 2025")</f>
        <v>OCTUBRE 2024 - SEPTIEMBRE 2025</v>
      </c>
      <c r="C24" s="36" t="str">
        <f ca="1">IFERROR(__xludf.DUMMYFUNCTION("""COMPUTED_VALUE"""),"OCTUBRE")</f>
        <v>OCTUBRE</v>
      </c>
      <c r="D24" s="36" t="str">
        <f ca="1">IFERROR(__xludf.DUMMYFUNCTION("""COMPUTED_VALUE"""),"PRESIDENCIA")</f>
        <v>PRESIDENCIA</v>
      </c>
      <c r="E24" s="36">
        <f ca="1">IFERROR(__xludf.DUMMYFUNCTION("""COMPUTED_VALUE"""),20)</f>
        <v>20</v>
      </c>
      <c r="F24" s="36">
        <f ca="1">IFERROR(__xludf.DUMMYFUNCTION("""COMPUTED_VALUE"""),45)</f>
        <v>45</v>
      </c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>
      <c r="A25" s="45">
        <f ca="1">IFERROR(__xludf.DUMMYFUNCTION("""COMPUTED_VALUE"""),45861.4247014236)</f>
        <v>45861.424701423603</v>
      </c>
      <c r="B25" s="36" t="str">
        <f ca="1">IFERROR(__xludf.DUMMYFUNCTION("""COMPUTED_VALUE"""),"OCTUBRE 2024 - SEPTIEMBRE 2025")</f>
        <v>OCTUBRE 2024 - SEPTIEMBRE 2025</v>
      </c>
      <c r="C25" s="36" t="str">
        <f ca="1">IFERROR(__xludf.DUMMYFUNCTION("""COMPUTED_VALUE"""),"NOVIEMBRE")</f>
        <v>NOVIEMBRE</v>
      </c>
      <c r="D25" s="36" t="str">
        <f ca="1">IFERROR(__xludf.DUMMYFUNCTION("""COMPUTED_VALUE"""),"PRESIDENCIA")</f>
        <v>PRESIDENCIA</v>
      </c>
      <c r="E25" s="36">
        <f ca="1">IFERROR(__xludf.DUMMYFUNCTION("""COMPUTED_VALUE"""),33)</f>
        <v>33</v>
      </c>
      <c r="F25" s="36">
        <f ca="1">IFERROR(__xludf.DUMMYFUNCTION("""COMPUTED_VALUE"""),80)</f>
        <v>80</v>
      </c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>
      <c r="A26" s="45">
        <f ca="1">IFERROR(__xludf.DUMMYFUNCTION("""COMPUTED_VALUE"""),45861.4249634606)</f>
        <v>45861.424963460602</v>
      </c>
      <c r="B26" s="36" t="str">
        <f ca="1">IFERROR(__xludf.DUMMYFUNCTION("""COMPUTED_VALUE"""),"OCTUBRE 2024 - SEPTIEMBRE 2025")</f>
        <v>OCTUBRE 2024 - SEPTIEMBRE 2025</v>
      </c>
      <c r="C26" s="36" t="str">
        <f ca="1">IFERROR(__xludf.DUMMYFUNCTION("""COMPUTED_VALUE"""),"DICIEMBRE")</f>
        <v>DICIEMBRE</v>
      </c>
      <c r="D26" s="36" t="str">
        <f ca="1">IFERROR(__xludf.DUMMYFUNCTION("""COMPUTED_VALUE"""),"PRESIDENCIA")</f>
        <v>PRESIDENCIA</v>
      </c>
      <c r="E26" s="36">
        <f ca="1">IFERROR(__xludf.DUMMYFUNCTION("""COMPUTED_VALUE"""),27)</f>
        <v>27</v>
      </c>
      <c r="F26" s="36">
        <f ca="1">IFERROR(__xludf.DUMMYFUNCTION("""COMPUTED_VALUE"""),60)</f>
        <v>60</v>
      </c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>
      <c r="A27" s="45">
        <f ca="1">IFERROR(__xludf.DUMMYFUNCTION("""COMPUTED_VALUE"""),45861.4256330092)</f>
        <v>45861.425633009203</v>
      </c>
      <c r="B27" s="36" t="str">
        <f ca="1">IFERROR(__xludf.DUMMYFUNCTION("""COMPUTED_VALUE"""),"OCTUBRE 2024 - SEPTIEMBRE 2025")</f>
        <v>OCTUBRE 2024 - SEPTIEMBRE 2025</v>
      </c>
      <c r="C27" s="36" t="str">
        <f ca="1">IFERROR(__xludf.DUMMYFUNCTION("""COMPUTED_VALUE"""),"FEBRERO")</f>
        <v>FEBRERO</v>
      </c>
      <c r="D27" s="36" t="str">
        <f ca="1">IFERROR(__xludf.DUMMYFUNCTION("""COMPUTED_VALUE"""),"PRESIDENCIA")</f>
        <v>PRESIDENCIA</v>
      </c>
      <c r="E27" s="36">
        <f ca="1">IFERROR(__xludf.DUMMYFUNCTION("""COMPUTED_VALUE"""),22)</f>
        <v>22</v>
      </c>
      <c r="F27" s="36">
        <f ca="1">IFERROR(__xludf.DUMMYFUNCTION("""COMPUTED_VALUE"""),52)</f>
        <v>52</v>
      </c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>
      <c r="A28" s="45">
        <f ca="1">IFERROR(__xludf.DUMMYFUNCTION("""COMPUTED_VALUE"""),45861.4260951967)</f>
        <v>45861.426095196701</v>
      </c>
      <c r="B28" s="36" t="str">
        <f ca="1">IFERROR(__xludf.DUMMYFUNCTION("""COMPUTED_VALUE"""),"OCTUBRE 2024 - SEPTIEMBRE 2025")</f>
        <v>OCTUBRE 2024 - SEPTIEMBRE 2025</v>
      </c>
      <c r="C28" s="36" t="str">
        <f ca="1">IFERROR(__xludf.DUMMYFUNCTION("""COMPUTED_VALUE"""),"MARZO")</f>
        <v>MARZO</v>
      </c>
      <c r="D28" s="36" t="str">
        <f ca="1">IFERROR(__xludf.DUMMYFUNCTION("""COMPUTED_VALUE"""),"PRESIDENCIA")</f>
        <v>PRESIDENCIA</v>
      </c>
      <c r="E28" s="36">
        <f ca="1">IFERROR(__xludf.DUMMYFUNCTION("""COMPUTED_VALUE"""),23)</f>
        <v>23</v>
      </c>
      <c r="F28" s="36">
        <f ca="1">IFERROR(__xludf.DUMMYFUNCTION("""COMPUTED_VALUE"""),42)</f>
        <v>42</v>
      </c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>
      <c r="A29" s="45">
        <f ca="1">IFERROR(__xludf.DUMMYFUNCTION("""COMPUTED_VALUE"""),45861.4264426736)</f>
        <v>45861.426442673597</v>
      </c>
      <c r="B29" s="36" t="str">
        <f ca="1">IFERROR(__xludf.DUMMYFUNCTION("""COMPUTED_VALUE"""),"OCTUBRE 2024 - SEPTIEMBRE 2025")</f>
        <v>OCTUBRE 2024 - SEPTIEMBRE 2025</v>
      </c>
      <c r="C29" s="36" t="str">
        <f ca="1">IFERROR(__xludf.DUMMYFUNCTION("""COMPUTED_VALUE"""),"JUNIO")</f>
        <v>JUNIO</v>
      </c>
      <c r="D29" s="36" t="str">
        <f ca="1">IFERROR(__xludf.DUMMYFUNCTION("""COMPUTED_VALUE"""),"PRESIDENCIA")</f>
        <v>PRESIDENCIA</v>
      </c>
      <c r="E29" s="36">
        <f ca="1">IFERROR(__xludf.DUMMYFUNCTION("""COMPUTED_VALUE"""),19)</f>
        <v>19</v>
      </c>
      <c r="F29" s="36">
        <f ca="1">IFERROR(__xludf.DUMMYFUNCTION("""COMPUTED_VALUE"""),38)</f>
        <v>38</v>
      </c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>
      <c r="A30" s="45">
        <f ca="1">IFERROR(__xludf.DUMMYFUNCTION("""COMPUTED_VALUE"""),45861.4319430324)</f>
        <v>45861.431943032403</v>
      </c>
      <c r="B30" s="36" t="str">
        <f ca="1">IFERROR(__xludf.DUMMYFUNCTION("""COMPUTED_VALUE"""),"OCTUBRE 2024 - SEPTIEMBRE 2025")</f>
        <v>OCTUBRE 2024 - SEPTIEMBRE 2025</v>
      </c>
      <c r="C30" s="36" t="str">
        <f ca="1">IFERROR(__xludf.DUMMYFUNCTION("""COMPUTED_VALUE"""),"OCTUBRE")</f>
        <v>OCTUBRE</v>
      </c>
      <c r="D30" s="36" t="str">
        <f ca="1">IFERROR(__xludf.DUMMYFUNCTION("""COMPUTED_VALUE"""),"ASUNTOS DEL INTERIOR")</f>
        <v>ASUNTOS DEL INTERIOR</v>
      </c>
      <c r="E30" s="36"/>
      <c r="F30" s="36"/>
      <c r="G30" s="36">
        <f ca="1">IFERROR(__xludf.DUMMYFUNCTION("""COMPUTED_VALUE"""),20)</f>
        <v>20</v>
      </c>
      <c r="H30" s="36">
        <f ca="1">IFERROR(__xludf.DUMMYFUNCTION("""COMPUTED_VALUE"""),15)</f>
        <v>15</v>
      </c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>
      <c r="A31" s="45">
        <f ca="1">IFERROR(__xludf.DUMMYFUNCTION("""COMPUTED_VALUE"""),45861.4321310995)</f>
        <v>45861.4321310995</v>
      </c>
      <c r="B31" s="36" t="str">
        <f ca="1">IFERROR(__xludf.DUMMYFUNCTION("""COMPUTED_VALUE"""),"OCTUBRE 2024 - SEPTIEMBRE 2025")</f>
        <v>OCTUBRE 2024 - SEPTIEMBRE 2025</v>
      </c>
      <c r="C31" s="36" t="str">
        <f ca="1">IFERROR(__xludf.DUMMYFUNCTION("""COMPUTED_VALUE"""),"NOVIEMBRE")</f>
        <v>NOVIEMBRE</v>
      </c>
      <c r="D31" s="36" t="str">
        <f ca="1">IFERROR(__xludf.DUMMYFUNCTION("""COMPUTED_VALUE"""),"ASUNTOS DEL INTERIOR")</f>
        <v>ASUNTOS DEL INTERIOR</v>
      </c>
      <c r="E31" s="36"/>
      <c r="F31" s="36"/>
      <c r="G31" s="36">
        <f ca="1">IFERROR(__xludf.DUMMYFUNCTION("""COMPUTED_VALUE"""),22)</f>
        <v>22</v>
      </c>
      <c r="H31" s="36">
        <f ca="1">IFERROR(__xludf.DUMMYFUNCTION("""COMPUTED_VALUE"""),8)</f>
        <v>8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>
      <c r="A32" s="45">
        <f ca="1">IFERROR(__xludf.DUMMYFUNCTION("""COMPUTED_VALUE"""),45861.4323160185)</f>
        <v>45861.432316018501</v>
      </c>
      <c r="B32" s="36" t="str">
        <f ca="1">IFERROR(__xludf.DUMMYFUNCTION("""COMPUTED_VALUE"""),"OCTUBRE 2024 - SEPTIEMBRE 2025")</f>
        <v>OCTUBRE 2024 - SEPTIEMBRE 2025</v>
      </c>
      <c r="C32" s="36" t="str">
        <f ca="1">IFERROR(__xludf.DUMMYFUNCTION("""COMPUTED_VALUE"""),"DICIEMBRE")</f>
        <v>DICIEMBRE</v>
      </c>
      <c r="D32" s="36" t="str">
        <f ca="1">IFERROR(__xludf.DUMMYFUNCTION("""COMPUTED_VALUE"""),"ASUNTOS DEL INTERIOR")</f>
        <v>ASUNTOS DEL INTERIOR</v>
      </c>
      <c r="E32" s="36"/>
      <c r="F32" s="36"/>
      <c r="G32" s="36">
        <f ca="1">IFERROR(__xludf.DUMMYFUNCTION("""COMPUTED_VALUE"""),15)</f>
        <v>15</v>
      </c>
      <c r="H32" s="36">
        <f ca="1">IFERROR(__xludf.DUMMYFUNCTION("""COMPUTED_VALUE"""),5)</f>
        <v>5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>
      <c r="A33" s="45">
        <f ca="1">IFERROR(__xludf.DUMMYFUNCTION("""COMPUTED_VALUE"""),45861.4325481365)</f>
        <v>45861.432548136501</v>
      </c>
      <c r="B33" s="36" t="str">
        <f ca="1">IFERROR(__xludf.DUMMYFUNCTION("""COMPUTED_VALUE"""),"OCTUBRE 2024 - SEPTIEMBRE 2025")</f>
        <v>OCTUBRE 2024 - SEPTIEMBRE 2025</v>
      </c>
      <c r="C33" s="36" t="str">
        <f ca="1">IFERROR(__xludf.DUMMYFUNCTION("""COMPUTED_VALUE"""),"ENERO")</f>
        <v>ENERO</v>
      </c>
      <c r="D33" s="36" t="str">
        <f ca="1">IFERROR(__xludf.DUMMYFUNCTION("""COMPUTED_VALUE"""),"ASUNTOS DEL INTERIOR")</f>
        <v>ASUNTOS DEL INTERIOR</v>
      </c>
      <c r="E33" s="36"/>
      <c r="F33" s="36"/>
      <c r="G33" s="36">
        <f ca="1">IFERROR(__xludf.DUMMYFUNCTION("""COMPUTED_VALUE"""),25)</f>
        <v>25</v>
      </c>
      <c r="H33" s="36">
        <f ca="1">IFERROR(__xludf.DUMMYFUNCTION("""COMPUTED_VALUE"""),8)</f>
        <v>8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>
      <c r="A34" s="45">
        <f ca="1">IFERROR(__xludf.DUMMYFUNCTION("""COMPUTED_VALUE"""),45861.4327776041)</f>
        <v>45861.432777604103</v>
      </c>
      <c r="B34" s="36" t="str">
        <f ca="1">IFERROR(__xludf.DUMMYFUNCTION("""COMPUTED_VALUE"""),"OCTUBRE 2024 - SEPTIEMBRE 2025")</f>
        <v>OCTUBRE 2024 - SEPTIEMBRE 2025</v>
      </c>
      <c r="C34" s="36" t="str">
        <f ca="1">IFERROR(__xludf.DUMMYFUNCTION("""COMPUTED_VALUE"""),"FEBRERO")</f>
        <v>FEBRERO</v>
      </c>
      <c r="D34" s="36" t="str">
        <f ca="1">IFERROR(__xludf.DUMMYFUNCTION("""COMPUTED_VALUE"""),"ASUNTOS DEL INTERIOR")</f>
        <v>ASUNTOS DEL INTERIOR</v>
      </c>
      <c r="E34" s="36"/>
      <c r="F34" s="36"/>
      <c r="G34" s="36">
        <f ca="1">IFERROR(__xludf.DUMMYFUNCTION("""COMPUTED_VALUE"""),31)</f>
        <v>31</v>
      </c>
      <c r="H34" s="36">
        <f ca="1">IFERROR(__xludf.DUMMYFUNCTION("""COMPUTED_VALUE"""),4)</f>
        <v>4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>
      <c r="A35" s="45">
        <f ca="1">IFERROR(__xludf.DUMMYFUNCTION("""COMPUTED_VALUE"""),45861.4329813541)</f>
        <v>45861.432981354097</v>
      </c>
      <c r="B35" s="36" t="str">
        <f ca="1">IFERROR(__xludf.DUMMYFUNCTION("""COMPUTED_VALUE"""),"OCTUBRE 2024 - SEPTIEMBRE 2025")</f>
        <v>OCTUBRE 2024 - SEPTIEMBRE 2025</v>
      </c>
      <c r="C35" s="36" t="str">
        <f ca="1">IFERROR(__xludf.DUMMYFUNCTION("""COMPUTED_VALUE"""),"MARZO")</f>
        <v>MARZO</v>
      </c>
      <c r="D35" s="36" t="str">
        <f ca="1">IFERROR(__xludf.DUMMYFUNCTION("""COMPUTED_VALUE"""),"ASUNTOS DEL INTERIOR")</f>
        <v>ASUNTOS DEL INTERIOR</v>
      </c>
      <c r="E35" s="36"/>
      <c r="F35" s="36"/>
      <c r="G35" s="36">
        <f ca="1">IFERROR(__xludf.DUMMYFUNCTION("""COMPUTED_VALUE"""),25)</f>
        <v>25</v>
      </c>
      <c r="H35" s="36">
        <f ca="1">IFERROR(__xludf.DUMMYFUNCTION("""COMPUTED_VALUE"""),6)</f>
        <v>6</v>
      </c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>
      <c r="A36" s="45">
        <f ca="1">IFERROR(__xludf.DUMMYFUNCTION("""COMPUTED_VALUE"""),45861.4331952314)</f>
        <v>45861.433195231402</v>
      </c>
      <c r="B36" s="36" t="str">
        <f ca="1">IFERROR(__xludf.DUMMYFUNCTION("""COMPUTED_VALUE"""),"OCTUBRE 2024 - SEPTIEMBRE 2025")</f>
        <v>OCTUBRE 2024 - SEPTIEMBRE 2025</v>
      </c>
      <c r="C36" s="36" t="str">
        <f ca="1">IFERROR(__xludf.DUMMYFUNCTION("""COMPUTED_VALUE"""),"ABRIL")</f>
        <v>ABRIL</v>
      </c>
      <c r="D36" s="36" t="str">
        <f ca="1">IFERROR(__xludf.DUMMYFUNCTION("""COMPUTED_VALUE"""),"ASUNTOS DEL INTERIOR")</f>
        <v>ASUNTOS DEL INTERIOR</v>
      </c>
      <c r="E36" s="36"/>
      <c r="F36" s="36"/>
      <c r="G36" s="36">
        <f ca="1">IFERROR(__xludf.DUMMYFUNCTION("""COMPUTED_VALUE"""),34)</f>
        <v>34</v>
      </c>
      <c r="H36" s="36">
        <f ca="1">IFERROR(__xludf.DUMMYFUNCTION("""COMPUTED_VALUE"""),12)</f>
        <v>12</v>
      </c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>
      <c r="A37" s="45">
        <f ca="1">IFERROR(__xludf.DUMMYFUNCTION("""COMPUTED_VALUE"""),45861.4402138888)</f>
        <v>45861.440213888804</v>
      </c>
      <c r="B37" s="36" t="str">
        <f ca="1">IFERROR(__xludf.DUMMYFUNCTION("""COMPUTED_VALUE"""),"OCTUBRE 2024 - SEPTIEMBRE 2025")</f>
        <v>OCTUBRE 2024 - SEPTIEMBRE 2025</v>
      </c>
      <c r="C37" s="36" t="str">
        <f ca="1">IFERROR(__xludf.DUMMYFUNCTION("""COMPUTED_VALUE"""),"OCTUBRE")</f>
        <v>OCTUBRE</v>
      </c>
      <c r="D37" s="36" t="str">
        <f ca="1">IFERROR(__xludf.DUMMYFUNCTION("""COMPUTED_VALUE"""),"COMUNICACION SOCIAL")</f>
        <v>COMUNICACION SOCIAL</v>
      </c>
      <c r="E37" s="36"/>
      <c r="F37" s="36"/>
      <c r="G37" s="36"/>
      <c r="H37" s="36"/>
      <c r="I37" s="36"/>
      <c r="J37" s="36"/>
      <c r="K37" s="36">
        <f ca="1">IFERROR(__xludf.DUMMYFUNCTION("""COMPUTED_VALUE"""),35)</f>
        <v>35</v>
      </c>
      <c r="L37" s="36">
        <f ca="1">IFERROR(__xludf.DUMMYFUNCTION("""COMPUTED_VALUE"""),50)</f>
        <v>50</v>
      </c>
      <c r="M37" s="36">
        <f ca="1">IFERROR(__xludf.DUMMYFUNCTION("""COMPUTED_VALUE"""),114)</f>
        <v>114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>
      <c r="A38" s="45">
        <f ca="1">IFERROR(__xludf.DUMMYFUNCTION("""COMPUTED_VALUE"""),45861.4405209259)</f>
        <v>45861.440520925898</v>
      </c>
      <c r="B38" s="36" t="str">
        <f ca="1">IFERROR(__xludf.DUMMYFUNCTION("""COMPUTED_VALUE"""),"OCTUBRE 2024 - SEPTIEMBRE 2025")</f>
        <v>OCTUBRE 2024 - SEPTIEMBRE 2025</v>
      </c>
      <c r="C38" s="36" t="str">
        <f ca="1">IFERROR(__xludf.DUMMYFUNCTION("""COMPUTED_VALUE"""),"NOVIEMBRE")</f>
        <v>NOVIEMBRE</v>
      </c>
      <c r="D38" s="36" t="str">
        <f ca="1">IFERROR(__xludf.DUMMYFUNCTION("""COMPUTED_VALUE"""),"COMUNICACION SOCIAL")</f>
        <v>COMUNICACION SOCIAL</v>
      </c>
      <c r="E38" s="36"/>
      <c r="F38" s="36"/>
      <c r="G38" s="36"/>
      <c r="H38" s="36"/>
      <c r="I38" s="36"/>
      <c r="J38" s="36"/>
      <c r="K38" s="36">
        <f ca="1">IFERROR(__xludf.DUMMYFUNCTION("""COMPUTED_VALUE"""),42)</f>
        <v>42</v>
      </c>
      <c r="L38" s="36">
        <f ca="1">IFERROR(__xludf.DUMMYFUNCTION("""COMPUTED_VALUE"""),72)</f>
        <v>72</v>
      </c>
      <c r="M38" s="36">
        <f ca="1">IFERROR(__xludf.DUMMYFUNCTION("""COMPUTED_VALUE"""),150)</f>
        <v>150</v>
      </c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>
      <c r="A39" s="45">
        <f ca="1">IFERROR(__xludf.DUMMYFUNCTION("""COMPUTED_VALUE"""),45861.4408456828)</f>
        <v>45861.440845682802</v>
      </c>
      <c r="B39" s="36" t="str">
        <f ca="1">IFERROR(__xludf.DUMMYFUNCTION("""COMPUTED_VALUE"""),"OCTUBRE 2024 - SEPTIEMBRE 2025")</f>
        <v>OCTUBRE 2024 - SEPTIEMBRE 2025</v>
      </c>
      <c r="C39" s="36" t="str">
        <f ca="1">IFERROR(__xludf.DUMMYFUNCTION("""COMPUTED_VALUE"""),"DICIEMBRE")</f>
        <v>DICIEMBRE</v>
      </c>
      <c r="D39" s="36" t="str">
        <f ca="1">IFERROR(__xludf.DUMMYFUNCTION("""COMPUTED_VALUE"""),"COMUNICACION SOCIAL")</f>
        <v>COMUNICACION SOCIAL</v>
      </c>
      <c r="E39" s="36"/>
      <c r="F39" s="36"/>
      <c r="G39" s="36"/>
      <c r="H39" s="36"/>
      <c r="I39" s="36"/>
      <c r="J39" s="36"/>
      <c r="K39" s="36">
        <f ca="1">IFERROR(__xludf.DUMMYFUNCTION("""COMPUTED_VALUE"""),39)</f>
        <v>39</v>
      </c>
      <c r="L39" s="36">
        <f ca="1">IFERROR(__xludf.DUMMYFUNCTION("""COMPUTED_VALUE"""),69)</f>
        <v>69</v>
      </c>
      <c r="M39" s="36">
        <f ca="1">IFERROR(__xludf.DUMMYFUNCTION("""COMPUTED_VALUE"""),163)</f>
        <v>163</v>
      </c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>
      <c r="A40" s="45">
        <f ca="1">IFERROR(__xludf.DUMMYFUNCTION("""COMPUTED_VALUE"""),45861.4411389583)</f>
        <v>45861.441138958297</v>
      </c>
      <c r="B40" s="36" t="str">
        <f ca="1">IFERROR(__xludf.DUMMYFUNCTION("""COMPUTED_VALUE"""),"OCTUBRE 2024 - SEPTIEMBRE 2025")</f>
        <v>OCTUBRE 2024 - SEPTIEMBRE 2025</v>
      </c>
      <c r="C40" s="36" t="str">
        <f ca="1">IFERROR(__xludf.DUMMYFUNCTION("""COMPUTED_VALUE"""),"ENERO")</f>
        <v>ENERO</v>
      </c>
      <c r="D40" s="36" t="str">
        <f ca="1">IFERROR(__xludf.DUMMYFUNCTION("""COMPUTED_VALUE"""),"COMUNICACION SOCIAL")</f>
        <v>COMUNICACION SOCIAL</v>
      </c>
      <c r="E40" s="36"/>
      <c r="F40" s="36"/>
      <c r="G40" s="36"/>
      <c r="H40" s="36"/>
      <c r="I40" s="36"/>
      <c r="J40" s="36"/>
      <c r="K40" s="36">
        <f ca="1">IFERROR(__xludf.DUMMYFUNCTION("""COMPUTED_VALUE"""),39)</f>
        <v>39</v>
      </c>
      <c r="L40" s="36">
        <f ca="1">IFERROR(__xludf.DUMMYFUNCTION("""COMPUTED_VALUE"""),172)</f>
        <v>172</v>
      </c>
      <c r="M40" s="36">
        <f ca="1">IFERROR(__xludf.DUMMYFUNCTION("""COMPUTED_VALUE"""),1)</f>
        <v>1</v>
      </c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>
      <c r="A41" s="45">
        <f ca="1">IFERROR(__xludf.DUMMYFUNCTION("""COMPUTED_VALUE"""),45861.4417490972)</f>
        <v>45861.441749097197</v>
      </c>
      <c r="B41" s="36" t="str">
        <f ca="1">IFERROR(__xludf.DUMMYFUNCTION("""COMPUTED_VALUE"""),"OCTUBRE 2024 - SEPTIEMBRE 2025")</f>
        <v>OCTUBRE 2024 - SEPTIEMBRE 2025</v>
      </c>
      <c r="C41" s="36" t="str">
        <f ca="1">IFERROR(__xludf.DUMMYFUNCTION("""COMPUTED_VALUE"""),"FEBRERO")</f>
        <v>FEBRERO</v>
      </c>
      <c r="D41" s="36" t="str">
        <f ca="1">IFERROR(__xludf.DUMMYFUNCTION("""COMPUTED_VALUE"""),"COMUNICACION SOCIAL")</f>
        <v>COMUNICACION SOCIAL</v>
      </c>
      <c r="E41" s="36"/>
      <c r="F41" s="36"/>
      <c r="G41" s="36"/>
      <c r="H41" s="36"/>
      <c r="I41" s="36"/>
      <c r="J41" s="36"/>
      <c r="K41" s="36">
        <f ca="1">IFERROR(__xludf.DUMMYFUNCTION("""COMPUTED_VALUE"""),48)</f>
        <v>48</v>
      </c>
      <c r="L41" s="36">
        <f ca="1">IFERROR(__xludf.DUMMYFUNCTION("""COMPUTED_VALUE"""),140)</f>
        <v>140</v>
      </c>
      <c r="M41" s="36">
        <f ca="1">IFERROR(__xludf.DUMMYFUNCTION("""COMPUTED_VALUE"""),2)</f>
        <v>2</v>
      </c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>
      <c r="A42" s="45">
        <f ca="1">IFERROR(__xludf.DUMMYFUNCTION("""COMPUTED_VALUE"""),45861.4425549189)</f>
        <v>45861.442554918904</v>
      </c>
      <c r="B42" s="36" t="str">
        <f ca="1">IFERROR(__xludf.DUMMYFUNCTION("""COMPUTED_VALUE"""),"OCTUBRE 2024 - SEPTIEMBRE 2025")</f>
        <v>OCTUBRE 2024 - SEPTIEMBRE 2025</v>
      </c>
      <c r="C42" s="36" t="str">
        <f ca="1">IFERROR(__xludf.DUMMYFUNCTION("""COMPUTED_VALUE"""),"MARZO")</f>
        <v>MARZO</v>
      </c>
      <c r="D42" s="36" t="str">
        <f ca="1">IFERROR(__xludf.DUMMYFUNCTION("""COMPUTED_VALUE"""),"COMUNICACION SOCIAL")</f>
        <v>COMUNICACION SOCIAL</v>
      </c>
      <c r="E42" s="36"/>
      <c r="F42" s="36"/>
      <c r="G42" s="36"/>
      <c r="H42" s="36"/>
      <c r="I42" s="36"/>
      <c r="J42" s="36"/>
      <c r="K42" s="36">
        <f ca="1">IFERROR(__xludf.DUMMYFUNCTION("""COMPUTED_VALUE"""),38)</f>
        <v>38</v>
      </c>
      <c r="L42" s="36">
        <f ca="1">IFERROR(__xludf.DUMMYFUNCTION("""COMPUTED_VALUE"""),142)</f>
        <v>142</v>
      </c>
      <c r="M42" s="36">
        <f ca="1">IFERROR(__xludf.DUMMYFUNCTION("""COMPUTED_VALUE"""),2)</f>
        <v>2</v>
      </c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>
      <c r="A43" s="45">
        <f ca="1">IFERROR(__xludf.DUMMYFUNCTION("""COMPUTED_VALUE"""),45861.5102492708)</f>
        <v>45861.510249270803</v>
      </c>
      <c r="B43" s="36" t="str">
        <f ca="1">IFERROR(__xludf.DUMMYFUNCTION("""COMPUTED_VALUE"""),"OCTUBRE 2024 - SEPTIEMBRE 2025")</f>
        <v>OCTUBRE 2024 - SEPTIEMBRE 2025</v>
      </c>
      <c r="C43" s="36" t="str">
        <f ca="1">IFERROR(__xludf.DUMMYFUNCTION("""COMPUTED_VALUE"""),"JULIO")</f>
        <v>JULIO</v>
      </c>
      <c r="D43" s="36" t="str">
        <f ca="1">IFERROR(__xludf.DUMMYFUNCTION("""COMPUTED_VALUE"""),"PRESIDENCIA")</f>
        <v>PRESIDENCIA</v>
      </c>
      <c r="E43" s="36">
        <f ca="1">IFERROR(__xludf.DUMMYFUNCTION("""COMPUTED_VALUE"""),33)</f>
        <v>33</v>
      </c>
      <c r="F43" s="36">
        <f ca="1">IFERROR(__xludf.DUMMYFUNCTION("""COMPUTED_VALUE"""),112)</f>
        <v>112</v>
      </c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>
      <c r="A44" s="45">
        <f ca="1">IFERROR(__xludf.DUMMYFUNCTION("""COMPUTED_VALUE"""),45867.4836221643)</f>
        <v>45867.483622164298</v>
      </c>
      <c r="B44" s="36" t="str">
        <f ca="1">IFERROR(__xludf.DUMMYFUNCTION("""COMPUTED_VALUE"""),"OCTUBRE 2024 - SEPTIEMBRE 2025")</f>
        <v>OCTUBRE 2024 - SEPTIEMBRE 2025</v>
      </c>
      <c r="C44" s="36" t="str">
        <f ca="1">IFERROR(__xludf.DUMMYFUNCTION("""COMPUTED_VALUE"""),"ENERO")</f>
        <v>ENERO</v>
      </c>
      <c r="D44" s="36" t="str">
        <f ca="1">IFERROR(__xludf.DUMMYFUNCTION("""COMPUTED_VALUE"""),"GESTION DE PROYECTOS")</f>
        <v>GESTION DE PROYECTOS</v>
      </c>
      <c r="E44" s="36"/>
      <c r="F44" s="36"/>
      <c r="G44" s="36"/>
      <c r="H44" s="36"/>
      <c r="I44" s="36"/>
      <c r="J44" s="36"/>
      <c r="K44" s="36"/>
      <c r="L44" s="36"/>
      <c r="M44" s="36"/>
      <c r="N44" s="36">
        <f ca="1">IFERROR(__xludf.DUMMYFUNCTION("""COMPUTED_VALUE"""),2)</f>
        <v>2</v>
      </c>
      <c r="O44" s="36">
        <f ca="1">IFERROR(__xludf.DUMMYFUNCTION("""COMPUTED_VALUE"""),255)</f>
        <v>255</v>
      </c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>
      <c r="A45" s="45">
        <f ca="1">IFERROR(__xludf.DUMMYFUNCTION("""COMPUTED_VALUE"""),45867.4841107523)</f>
        <v>45867.484110752303</v>
      </c>
      <c r="B45" s="36" t="str">
        <f ca="1">IFERROR(__xludf.DUMMYFUNCTION("""COMPUTED_VALUE"""),"OCTUBRE 2024 - SEPTIEMBRE 2025")</f>
        <v>OCTUBRE 2024 - SEPTIEMBRE 2025</v>
      </c>
      <c r="C45" s="36" t="str">
        <f ca="1">IFERROR(__xludf.DUMMYFUNCTION("""COMPUTED_VALUE"""),"FEBRERO")</f>
        <v>FEBRERO</v>
      </c>
      <c r="D45" s="36" t="str">
        <f ca="1">IFERROR(__xludf.DUMMYFUNCTION("""COMPUTED_VALUE"""),"GESTION DE PROYECTOS")</f>
        <v>GESTION DE PROYECTOS</v>
      </c>
      <c r="E45" s="36"/>
      <c r="F45" s="36"/>
      <c r="G45" s="36"/>
      <c r="H45" s="36"/>
      <c r="I45" s="36"/>
      <c r="J45" s="36"/>
      <c r="K45" s="36"/>
      <c r="L45" s="36"/>
      <c r="M45" s="36"/>
      <c r="N45" s="36">
        <f ca="1">IFERROR(__xludf.DUMMYFUNCTION("""COMPUTED_VALUE"""),3)</f>
        <v>3</v>
      </c>
      <c r="O45" s="36">
        <f ca="1">IFERROR(__xludf.DUMMYFUNCTION("""COMPUTED_VALUE"""),272)</f>
        <v>272</v>
      </c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>
      <c r="A46" s="45">
        <f ca="1">IFERROR(__xludf.DUMMYFUNCTION("""COMPUTED_VALUE"""),45867.4846800347)</f>
        <v>45867.4846800347</v>
      </c>
      <c r="B46" s="36" t="str">
        <f ca="1">IFERROR(__xludf.DUMMYFUNCTION("""COMPUTED_VALUE"""),"OCTUBRE 2024 - SEPTIEMBRE 2025")</f>
        <v>OCTUBRE 2024 - SEPTIEMBRE 2025</v>
      </c>
      <c r="C46" s="36" t="str">
        <f ca="1">IFERROR(__xludf.DUMMYFUNCTION("""COMPUTED_VALUE"""),"MARZO")</f>
        <v>MARZO</v>
      </c>
      <c r="D46" s="36" t="str">
        <f ca="1">IFERROR(__xludf.DUMMYFUNCTION("""COMPUTED_VALUE"""),"GESTION DE PROYECTOS")</f>
        <v>GESTION DE PROYECTOS</v>
      </c>
      <c r="E46" s="36"/>
      <c r="F46" s="36"/>
      <c r="G46" s="36"/>
      <c r="H46" s="36"/>
      <c r="I46" s="36"/>
      <c r="J46" s="36"/>
      <c r="K46" s="36"/>
      <c r="L46" s="36"/>
      <c r="M46" s="36"/>
      <c r="N46" s="36">
        <f ca="1">IFERROR(__xludf.DUMMYFUNCTION("""COMPUTED_VALUE"""),2)</f>
        <v>2</v>
      </c>
      <c r="O46" s="36">
        <f ca="1">IFERROR(__xludf.DUMMYFUNCTION("""COMPUTED_VALUE"""),350)</f>
        <v>350</v>
      </c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>
      <c r="A47" s="45">
        <f ca="1">IFERROR(__xludf.DUMMYFUNCTION("""COMPUTED_VALUE"""),45867.5027112847)</f>
        <v>45867.502711284702</v>
      </c>
      <c r="B47" s="36" t="str">
        <f ca="1">IFERROR(__xludf.DUMMYFUNCTION("""COMPUTED_VALUE"""),"OCTUBRE 2024 - SEPTIEMBRE 2025")</f>
        <v>OCTUBRE 2024 - SEPTIEMBRE 2025</v>
      </c>
      <c r="C47" s="36" t="str">
        <f ca="1">IFERROR(__xludf.DUMMYFUNCTION("""COMPUTED_VALUE"""),"JULIO")</f>
        <v>JULIO</v>
      </c>
      <c r="D47" s="36" t="str">
        <f ca="1">IFERROR(__xludf.DUMMYFUNCTION("""COMPUTED_VALUE"""),"GESTION DE PROYECTOS")</f>
        <v>GESTION DE PROYECTOS</v>
      </c>
      <c r="E47" s="36"/>
      <c r="F47" s="36"/>
      <c r="G47" s="36"/>
      <c r="H47" s="36"/>
      <c r="I47" s="36"/>
      <c r="J47" s="36"/>
      <c r="K47" s="36"/>
      <c r="L47" s="36"/>
      <c r="M47" s="36"/>
      <c r="N47" s="36">
        <f ca="1">IFERROR(__xludf.DUMMYFUNCTION("""COMPUTED_VALUE"""),3)</f>
        <v>3</v>
      </c>
      <c r="O47" s="36">
        <f ca="1">IFERROR(__xludf.DUMMYFUNCTION("""COMPUTED_VALUE"""),251)</f>
        <v>251</v>
      </c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>
      <c r="A48" s="45">
        <f ca="1">IFERROR(__xludf.DUMMYFUNCTION("""COMPUTED_VALUE"""),45946.4279246064)</f>
        <v>45946.427924606403</v>
      </c>
      <c r="B48" s="36" t="str">
        <f ca="1">IFERROR(__xludf.DUMMYFUNCTION("""COMPUTED_VALUE"""),"OCTUBRE 2024 - SEPTIEMBRE 2025")</f>
        <v>OCTUBRE 2024 - SEPTIEMBRE 2025</v>
      </c>
      <c r="C48" s="36" t="str">
        <f ca="1">IFERROR(__xludf.DUMMYFUNCTION("""COMPUTED_VALUE"""),"JULIO")</f>
        <v>JULIO</v>
      </c>
      <c r="D48" s="36" t="str">
        <f ca="1">IFERROR(__xludf.DUMMYFUNCTION("""COMPUTED_VALUE"""),"ASUNTOS DEL INTERIOR")</f>
        <v>ASUNTOS DEL INTERIOR</v>
      </c>
      <c r="E48" s="36"/>
      <c r="F48" s="36"/>
      <c r="G48" s="36">
        <f ca="1">IFERROR(__xludf.DUMMYFUNCTION("""COMPUTED_VALUE"""),92)</f>
        <v>92</v>
      </c>
      <c r="H48" s="36">
        <f ca="1">IFERROR(__xludf.DUMMYFUNCTION("""COMPUTED_VALUE"""),1)</f>
        <v>1</v>
      </c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>
      <c r="A49" s="45">
        <f ca="1">IFERROR(__xludf.DUMMYFUNCTION("""COMPUTED_VALUE"""),45946.4282334606)</f>
        <v>45946.428233460603</v>
      </c>
      <c r="B49" s="36" t="str">
        <f ca="1">IFERROR(__xludf.DUMMYFUNCTION("""COMPUTED_VALUE"""),"OCTUBRE 2024 - SEPTIEMBRE 2025")</f>
        <v>OCTUBRE 2024 - SEPTIEMBRE 2025</v>
      </c>
      <c r="C49" s="36" t="str">
        <f ca="1">IFERROR(__xludf.DUMMYFUNCTION("""COMPUTED_VALUE"""),"AGOSTO")</f>
        <v>AGOSTO</v>
      </c>
      <c r="D49" s="36" t="str">
        <f ca="1">IFERROR(__xludf.DUMMYFUNCTION("""COMPUTED_VALUE"""),"ASUNTOS DEL INTERIOR")</f>
        <v>ASUNTOS DEL INTERIOR</v>
      </c>
      <c r="E49" s="36"/>
      <c r="F49" s="36"/>
      <c r="G49" s="36">
        <f ca="1">IFERROR(__xludf.DUMMYFUNCTION("""COMPUTED_VALUE"""),84)</f>
        <v>84</v>
      </c>
      <c r="H49" s="36">
        <f ca="1">IFERROR(__xludf.DUMMYFUNCTION("""COMPUTED_VALUE"""),1)</f>
        <v>1</v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>
      <c r="A50" s="45">
        <f ca="1">IFERROR(__xludf.DUMMYFUNCTION("""COMPUTED_VALUE"""),45946.4285346412)</f>
        <v>45946.4285346412</v>
      </c>
      <c r="B50" s="36" t="str">
        <f ca="1">IFERROR(__xludf.DUMMYFUNCTION("""COMPUTED_VALUE"""),"OCTUBRE 2024 - SEPTIEMBRE 2025")</f>
        <v>OCTUBRE 2024 - SEPTIEMBRE 2025</v>
      </c>
      <c r="C50" s="36" t="str">
        <f ca="1">IFERROR(__xludf.DUMMYFUNCTION("""COMPUTED_VALUE"""),"SEPTIEMBRE")</f>
        <v>SEPTIEMBRE</v>
      </c>
      <c r="D50" s="36" t="str">
        <f ca="1">IFERROR(__xludf.DUMMYFUNCTION("""COMPUTED_VALUE"""),"ASUNTOS DEL INTERIOR")</f>
        <v>ASUNTOS DEL INTERIOR</v>
      </c>
      <c r="E50" s="36"/>
      <c r="F50" s="36"/>
      <c r="G50" s="36">
        <f ca="1">IFERROR(__xludf.DUMMYFUNCTION("""COMPUTED_VALUE"""),88)</f>
        <v>88</v>
      </c>
      <c r="H50" s="36">
        <f ca="1">IFERROR(__xludf.DUMMYFUNCTION("""COMPUTED_VALUE"""),1)</f>
        <v>1</v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>
      <c r="A51" s="45">
        <f ca="1">IFERROR(__xludf.DUMMYFUNCTION("""COMPUTED_VALUE"""),45946.4475377546)</f>
        <v>45946.447537754597</v>
      </c>
      <c r="B51" s="36" t="str">
        <f ca="1">IFERROR(__xludf.DUMMYFUNCTION("""COMPUTED_VALUE"""),"OCTUBRE 2024 - SEPTIEMBRE 2025")</f>
        <v>OCTUBRE 2024 - SEPTIEMBRE 2025</v>
      </c>
      <c r="C51" s="36" t="str">
        <f ca="1">IFERROR(__xludf.DUMMYFUNCTION("""COMPUTED_VALUE"""),"JULIO")</f>
        <v>JULIO</v>
      </c>
      <c r="D51" s="36" t="str">
        <f ca="1">IFERROR(__xludf.DUMMYFUNCTION("""COMPUTED_VALUE"""),"TRANSPARENCIA")</f>
        <v>TRANSPARENCIA</v>
      </c>
      <c r="E51" s="36"/>
      <c r="F51" s="36"/>
      <c r="G51" s="36"/>
      <c r="H51" s="36"/>
      <c r="I51" s="36">
        <f ca="1">IFERROR(__xludf.DUMMYFUNCTION("""COMPUTED_VALUE"""),63)</f>
        <v>63</v>
      </c>
      <c r="J51" s="36">
        <f ca="1">IFERROR(__xludf.DUMMYFUNCTION("""COMPUTED_VALUE"""),4)</f>
        <v>4</v>
      </c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>
      <c r="A52" s="45">
        <f ca="1">IFERROR(__xludf.DUMMYFUNCTION("""COMPUTED_VALUE"""),45946.44777103)</f>
        <v>45946.447771029998</v>
      </c>
      <c r="B52" s="36" t="str">
        <f ca="1">IFERROR(__xludf.DUMMYFUNCTION("""COMPUTED_VALUE"""),"OCTUBRE 2024 - SEPTIEMBRE 2025")</f>
        <v>OCTUBRE 2024 - SEPTIEMBRE 2025</v>
      </c>
      <c r="C52" s="36" t="str">
        <f ca="1">IFERROR(__xludf.DUMMYFUNCTION("""COMPUTED_VALUE"""),"AGOSTO")</f>
        <v>AGOSTO</v>
      </c>
      <c r="D52" s="36" t="str">
        <f ca="1">IFERROR(__xludf.DUMMYFUNCTION("""COMPUTED_VALUE"""),"TRANSPARENCIA")</f>
        <v>TRANSPARENCIA</v>
      </c>
      <c r="E52" s="36"/>
      <c r="F52" s="36"/>
      <c r="G52" s="36"/>
      <c r="H52" s="36"/>
      <c r="I52" s="36">
        <f ca="1">IFERROR(__xludf.DUMMYFUNCTION("""COMPUTED_VALUE"""),78)</f>
        <v>78</v>
      </c>
      <c r="J52" s="36">
        <f ca="1">IFERROR(__xludf.DUMMYFUNCTION("""COMPUTED_VALUE"""),4)</f>
        <v>4</v>
      </c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>
      <c r="A53" s="45">
        <f ca="1">IFERROR(__xludf.DUMMYFUNCTION("""COMPUTED_VALUE"""),45946.4479802546)</f>
        <v>45946.447980254597</v>
      </c>
      <c r="B53" s="36" t="str">
        <f ca="1">IFERROR(__xludf.DUMMYFUNCTION("""COMPUTED_VALUE"""),"OCTUBRE 2024 - SEPTIEMBRE 2025")</f>
        <v>OCTUBRE 2024 - SEPTIEMBRE 2025</v>
      </c>
      <c r="C53" s="36" t="str">
        <f ca="1">IFERROR(__xludf.DUMMYFUNCTION("""COMPUTED_VALUE"""),"SEPTIEMBRE")</f>
        <v>SEPTIEMBRE</v>
      </c>
      <c r="D53" s="36" t="str">
        <f ca="1">IFERROR(__xludf.DUMMYFUNCTION("""COMPUTED_VALUE"""),"TRANSPARENCIA")</f>
        <v>TRANSPARENCIA</v>
      </c>
      <c r="E53" s="36"/>
      <c r="F53" s="36"/>
      <c r="G53" s="36"/>
      <c r="H53" s="36"/>
      <c r="I53" s="36">
        <f ca="1">IFERROR(__xludf.DUMMYFUNCTION("""COMPUTED_VALUE"""),25)</f>
        <v>25</v>
      </c>
      <c r="J53" s="36">
        <f ca="1">IFERROR(__xludf.DUMMYFUNCTION("""COMPUTED_VALUE"""),5)</f>
        <v>5</v>
      </c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>
      <c r="A54" s="45">
        <f ca="1">IFERROR(__xludf.DUMMYFUNCTION("""COMPUTED_VALUE"""),45946.4567644791)</f>
        <v>45946.456764479102</v>
      </c>
      <c r="B54" s="36" t="str">
        <f ca="1">IFERROR(__xludf.DUMMYFUNCTION("""COMPUTED_VALUE"""),"OCTUBRE 2024 - SEPTIEMBRE 2025")</f>
        <v>OCTUBRE 2024 - SEPTIEMBRE 2025</v>
      </c>
      <c r="C54" s="36" t="str">
        <f ca="1">IFERROR(__xludf.DUMMYFUNCTION("""COMPUTED_VALUE"""),"SEPTIEMBRE")</f>
        <v>SEPTIEMBRE</v>
      </c>
      <c r="D54" s="36" t="str">
        <f ca="1">IFERROR(__xludf.DUMMYFUNCTION("""COMPUTED_VALUE"""),"GESTION DE PROYECTOS")</f>
        <v>GESTION DE PROYECTOS</v>
      </c>
      <c r="E54" s="36"/>
      <c r="F54" s="36"/>
      <c r="G54" s="36"/>
      <c r="H54" s="36"/>
      <c r="I54" s="36"/>
      <c r="J54" s="36"/>
      <c r="K54" s="36"/>
      <c r="L54" s="36"/>
      <c r="M54" s="36"/>
      <c r="N54" s="36">
        <f ca="1">IFERROR(__xludf.DUMMYFUNCTION("""COMPUTED_VALUE"""),7)</f>
        <v>7</v>
      </c>
      <c r="O54" s="36">
        <f ca="1">IFERROR(__xludf.DUMMYFUNCTION("""COMPUTED_VALUE"""),1140)</f>
        <v>1140</v>
      </c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>
      <c r="A55" s="45">
        <f ca="1">IFERROR(__xludf.DUMMYFUNCTION("""COMPUTED_VALUE"""),45946.6102613888)</f>
        <v>45946.6102613888</v>
      </c>
      <c r="B55" s="36" t="str">
        <f ca="1">IFERROR(__xludf.DUMMYFUNCTION("""COMPUTED_VALUE"""),"OCTUBRE 2024 - SEPTIEMBRE 2025")</f>
        <v>OCTUBRE 2024 - SEPTIEMBRE 2025</v>
      </c>
      <c r="C55" s="36" t="str">
        <f ca="1">IFERROR(__xludf.DUMMYFUNCTION("""COMPUTED_VALUE"""),"JULIO")</f>
        <v>JULIO</v>
      </c>
      <c r="D55" s="36" t="str">
        <f ca="1">IFERROR(__xludf.DUMMYFUNCTION("""COMPUTED_VALUE"""),"COMUNICACION SOCIAL")</f>
        <v>COMUNICACION SOCIAL</v>
      </c>
      <c r="E55" s="36"/>
      <c r="F55" s="36"/>
      <c r="G55" s="36"/>
      <c r="H55" s="36"/>
      <c r="I55" s="36"/>
      <c r="J55" s="36"/>
      <c r="K55" s="36">
        <f ca="1">IFERROR(__xludf.DUMMYFUNCTION("""COMPUTED_VALUE"""),84)</f>
        <v>84</v>
      </c>
      <c r="L55" s="36">
        <f ca="1">IFERROR(__xludf.DUMMYFUNCTION("""COMPUTED_VALUE"""),99)</f>
        <v>99</v>
      </c>
      <c r="M55" s="36">
        <f ca="1">IFERROR(__xludf.DUMMYFUNCTION("""COMPUTED_VALUE"""),281)</f>
        <v>281</v>
      </c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>
      <c r="A56" s="45">
        <f ca="1">IFERROR(__xludf.DUMMYFUNCTION("""COMPUTED_VALUE"""),45946.6105355324)</f>
        <v>45946.610535532403</v>
      </c>
      <c r="B56" s="36" t="str">
        <f ca="1">IFERROR(__xludf.DUMMYFUNCTION("""COMPUTED_VALUE"""),"OCTUBRE 2024 - SEPTIEMBRE 2025")</f>
        <v>OCTUBRE 2024 - SEPTIEMBRE 2025</v>
      </c>
      <c r="C56" s="36" t="str">
        <f ca="1">IFERROR(__xludf.DUMMYFUNCTION("""COMPUTED_VALUE"""),"AGOSTO")</f>
        <v>AGOSTO</v>
      </c>
      <c r="D56" s="36" t="str">
        <f ca="1">IFERROR(__xludf.DUMMYFUNCTION("""COMPUTED_VALUE"""),"COMUNICACION SOCIAL")</f>
        <v>COMUNICACION SOCIAL</v>
      </c>
      <c r="E56" s="36"/>
      <c r="F56" s="36"/>
      <c r="G56" s="36"/>
      <c r="H56" s="36"/>
      <c r="I56" s="36"/>
      <c r="J56" s="36"/>
      <c r="K56" s="36">
        <f ca="1">IFERROR(__xludf.DUMMYFUNCTION("""COMPUTED_VALUE"""),55)</f>
        <v>55</v>
      </c>
      <c r="L56" s="36">
        <f ca="1">IFERROR(__xludf.DUMMYFUNCTION("""COMPUTED_VALUE"""),71)</f>
        <v>71</v>
      </c>
      <c r="M56" s="36">
        <f ca="1">IFERROR(__xludf.DUMMYFUNCTION("""COMPUTED_VALUE"""),271)</f>
        <v>271</v>
      </c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>
      <c r="A57" s="45">
        <f ca="1">IFERROR(__xludf.DUMMYFUNCTION("""COMPUTED_VALUE"""),45946.6108123263)</f>
        <v>45946.610812326297</v>
      </c>
      <c r="B57" s="36" t="str">
        <f ca="1">IFERROR(__xludf.DUMMYFUNCTION("""COMPUTED_VALUE"""),"OCTUBRE 2024 - SEPTIEMBRE 2025")</f>
        <v>OCTUBRE 2024 - SEPTIEMBRE 2025</v>
      </c>
      <c r="C57" s="36" t="str">
        <f ca="1">IFERROR(__xludf.DUMMYFUNCTION("""COMPUTED_VALUE"""),"SEPTIEMBRE")</f>
        <v>SEPTIEMBRE</v>
      </c>
      <c r="D57" s="36" t="str">
        <f ca="1">IFERROR(__xludf.DUMMYFUNCTION("""COMPUTED_VALUE"""),"COMUNICACION SOCIAL")</f>
        <v>COMUNICACION SOCIAL</v>
      </c>
      <c r="E57" s="36"/>
      <c r="F57" s="36"/>
      <c r="G57" s="36"/>
      <c r="H57" s="36"/>
      <c r="I57" s="36"/>
      <c r="J57" s="36"/>
      <c r="K57" s="36">
        <f ca="1">IFERROR(__xludf.DUMMYFUNCTION("""COMPUTED_VALUE"""),88)</f>
        <v>88</v>
      </c>
      <c r="L57" s="36">
        <f ca="1">IFERROR(__xludf.DUMMYFUNCTION("""COMPUTED_VALUE"""),119)</f>
        <v>119</v>
      </c>
      <c r="M57" s="36">
        <f ca="1">IFERROR(__xludf.DUMMYFUNCTION("""COMPUTED_VALUE"""),436)</f>
        <v>436</v>
      </c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>
      <c r="A58" s="45">
        <f ca="1">IFERROR(__xludf.DUMMYFUNCTION("""COMPUTED_VALUE"""),45953.5627584259)</f>
        <v>45953.562758425898</v>
      </c>
      <c r="B58" s="36" t="str">
        <f ca="1">IFERROR(__xludf.DUMMYFUNCTION("""COMPUTED_VALUE"""),"OCTUBRE 2024 - SEPTIEMBRE 2025")</f>
        <v>OCTUBRE 2024 - SEPTIEMBRE 2025</v>
      </c>
      <c r="C58" s="36" t="str">
        <f ca="1">IFERROR(__xludf.DUMMYFUNCTION("""COMPUTED_VALUE"""),"AGOSTO")</f>
        <v>AGOSTO</v>
      </c>
      <c r="D58" s="36" t="str">
        <f ca="1">IFERROR(__xludf.DUMMYFUNCTION("""COMPUTED_VALUE"""),"PRESIDENCIA")</f>
        <v>PRESIDENCIA</v>
      </c>
      <c r="E58" s="36">
        <f ca="1">IFERROR(__xludf.DUMMYFUNCTION("""COMPUTED_VALUE"""),31)</f>
        <v>31</v>
      </c>
      <c r="F58" s="36">
        <f ca="1">IFERROR(__xludf.DUMMYFUNCTION("""COMPUTED_VALUE"""),100)</f>
        <v>100</v>
      </c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>
      <c r="A59" s="45">
        <f ca="1">IFERROR(__xludf.DUMMYFUNCTION("""COMPUTED_VALUE"""),45953.5636769791)</f>
        <v>45953.563676979102</v>
      </c>
      <c r="B59" s="36" t="str">
        <f ca="1">IFERROR(__xludf.DUMMYFUNCTION("""COMPUTED_VALUE"""),"OCTUBRE 2024 - SEPTIEMBRE 2025")</f>
        <v>OCTUBRE 2024 - SEPTIEMBRE 2025</v>
      </c>
      <c r="C59" s="36" t="str">
        <f ca="1">IFERROR(__xludf.DUMMYFUNCTION("""COMPUTED_VALUE"""),"SEPTIEMBRE")</f>
        <v>SEPTIEMBRE</v>
      </c>
      <c r="D59" s="36" t="str">
        <f ca="1">IFERROR(__xludf.DUMMYFUNCTION("""COMPUTED_VALUE"""),"PRESIDENCIA")</f>
        <v>PRESIDENCIA</v>
      </c>
      <c r="E59" s="36">
        <f ca="1">IFERROR(__xludf.DUMMYFUNCTION("""COMPUTED_VALUE"""),28)</f>
        <v>28</v>
      </c>
      <c r="F59" s="36">
        <f ca="1">IFERROR(__xludf.DUMMYFUNCTION("""COMPUTED_VALUE"""),82)</f>
        <v>82</v>
      </c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>
      <c r="A60" s="45">
        <f ca="1">IFERROR(__xludf.DUMMYFUNCTION("""COMPUTED_VALUE"""),46002.5893058564)</f>
        <v>46002.589305856403</v>
      </c>
      <c r="B60" s="36" t="str">
        <f ca="1">IFERROR(__xludf.DUMMYFUNCTION("""COMPUTED_VALUE"""),"OCTUBRE 2025 - SEPTIEMBRE 2026")</f>
        <v>OCTUBRE 2025 - SEPTIEMBRE 2026</v>
      </c>
      <c r="C60" s="36" t="str">
        <f ca="1">IFERROR(__xludf.DUMMYFUNCTION("""COMPUTED_VALUE"""),"OCTUBRE")</f>
        <v>OCTUBRE</v>
      </c>
      <c r="D60" s="36" t="str">
        <f ca="1">IFERROR(__xludf.DUMMYFUNCTION("""COMPUTED_VALUE"""),"TRANSPARENCIA")</f>
        <v>TRANSPARENCIA</v>
      </c>
      <c r="E60" s="36"/>
      <c r="F60" s="36"/>
      <c r="G60" s="36"/>
      <c r="H60" s="36"/>
      <c r="I60" s="36">
        <f ca="1">IFERROR(__xludf.DUMMYFUNCTION("""COMPUTED_VALUE"""),31)</f>
        <v>31</v>
      </c>
      <c r="J60" s="36">
        <f ca="1">IFERROR(__xludf.DUMMYFUNCTION("""COMPUTED_VALUE"""),2)</f>
        <v>2</v>
      </c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>
      <c r="A61" s="45">
        <f ca="1">IFERROR(__xludf.DUMMYFUNCTION("""COMPUTED_VALUE"""),46002.5895850347)</f>
        <v>46002.589585034701</v>
      </c>
      <c r="B61" s="36" t="str">
        <f ca="1">IFERROR(__xludf.DUMMYFUNCTION("""COMPUTED_VALUE"""),"OCTUBRE 2025 - SEPTIEMBRE 2026")</f>
        <v>OCTUBRE 2025 - SEPTIEMBRE 2026</v>
      </c>
      <c r="C61" s="36" t="str">
        <f ca="1">IFERROR(__xludf.DUMMYFUNCTION("""COMPUTED_VALUE"""),"NOVIEMBRE")</f>
        <v>NOVIEMBRE</v>
      </c>
      <c r="D61" s="36" t="str">
        <f ca="1">IFERROR(__xludf.DUMMYFUNCTION("""COMPUTED_VALUE"""),"TRANSPARENCIA")</f>
        <v>TRANSPARENCIA</v>
      </c>
      <c r="E61" s="36"/>
      <c r="F61" s="36"/>
      <c r="G61" s="36"/>
      <c r="H61" s="36"/>
      <c r="I61" s="36">
        <f ca="1">IFERROR(__xludf.DUMMYFUNCTION("""COMPUTED_VALUE"""),19)</f>
        <v>19</v>
      </c>
      <c r="J61" s="36">
        <f ca="1">IFERROR(__xludf.DUMMYFUNCTION("""COMPUTED_VALUE"""),1)</f>
        <v>1</v>
      </c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>
      <c r="A62" s="45">
        <f ca="1">IFERROR(__xludf.DUMMYFUNCTION("""COMPUTED_VALUE"""),46069.5732255787)</f>
        <v>46069.573225578701</v>
      </c>
      <c r="B62" s="36" t="str">
        <f ca="1">IFERROR(__xludf.DUMMYFUNCTION("""COMPUTED_VALUE"""),"OCTUBRE 2025 - SEPTIEMBRE 2026")</f>
        <v>OCTUBRE 2025 - SEPTIEMBRE 2026</v>
      </c>
      <c r="C62" s="36" t="str">
        <f ca="1">IFERROR(__xludf.DUMMYFUNCTION("""COMPUTED_VALUE"""),"OCTUBRE")</f>
        <v>OCTUBRE</v>
      </c>
      <c r="D62" s="36" t="str">
        <f ca="1">IFERROR(__xludf.DUMMYFUNCTION("""COMPUTED_VALUE"""),"GESTION DE PROYECTOS")</f>
        <v>GESTION DE PROYECTOS</v>
      </c>
      <c r="E62" s="36"/>
      <c r="F62" s="36"/>
      <c r="G62" s="36"/>
      <c r="H62" s="36"/>
      <c r="I62" s="36"/>
      <c r="J62" s="36"/>
      <c r="K62" s="36"/>
      <c r="L62" s="36"/>
      <c r="M62" s="36"/>
      <c r="N62" s="36">
        <f ca="1">IFERROR(__xludf.DUMMYFUNCTION("""COMPUTED_VALUE"""),193)</f>
        <v>193</v>
      </c>
      <c r="O62" s="36">
        <f ca="1">IFERROR(__xludf.DUMMYFUNCTION("""COMPUTED_VALUE"""),442)</f>
        <v>442</v>
      </c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>
      <c r="A63" s="45">
        <f ca="1">IFERROR(__xludf.DUMMYFUNCTION("""COMPUTED_VALUE"""),46069.5765827662)</f>
        <v>46069.576582766204</v>
      </c>
      <c r="B63" s="36" t="str">
        <f ca="1">IFERROR(__xludf.DUMMYFUNCTION("""COMPUTED_VALUE"""),"OCTUBRE 2025 - SEPTIEMBRE 2026")</f>
        <v>OCTUBRE 2025 - SEPTIEMBRE 2026</v>
      </c>
      <c r="C63" s="36" t="str">
        <f ca="1">IFERROR(__xludf.DUMMYFUNCTION("""COMPUTED_VALUE"""),"NOVIEMBRE")</f>
        <v>NOVIEMBRE</v>
      </c>
      <c r="D63" s="36" t="str">
        <f ca="1">IFERROR(__xludf.DUMMYFUNCTION("""COMPUTED_VALUE"""),"GESTION DE PROYECTOS")</f>
        <v>GESTION DE PROYECTOS</v>
      </c>
      <c r="E63" s="36"/>
      <c r="F63" s="36"/>
      <c r="G63" s="36"/>
      <c r="H63" s="36"/>
      <c r="I63" s="36"/>
      <c r="J63" s="36"/>
      <c r="K63" s="36"/>
      <c r="L63" s="36"/>
      <c r="M63" s="36"/>
      <c r="N63" s="36">
        <f ca="1">IFERROR(__xludf.DUMMYFUNCTION("""COMPUTED_VALUE"""),148)</f>
        <v>148</v>
      </c>
      <c r="O63" s="36">
        <f ca="1">IFERROR(__xludf.DUMMYFUNCTION("""COMPUTED_VALUE"""),72)</f>
        <v>72</v>
      </c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>
      <c r="A64" s="45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>
      <c r="A65" s="45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>
      <c r="A66" s="45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>
      <c r="A67" s="45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>
      <c r="A68" s="45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>
      <c r="A69" s="45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>
      <c r="A70" s="45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>
      <c r="A71" s="4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>
      <c r="A72" s="45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>
      <c r="A73" s="45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>
      <c r="A74" s="45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>
      <c r="A75" s="45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>
      <c r="A76" s="45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>
      <c r="A77" s="45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>
      <c r="A78" s="45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>
      <c r="A79" s="45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>
      <c r="A80" s="45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>
      <c r="A81" s="45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>
      <c r="A82" s="45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>
      <c r="A83" s="45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>
      <c r="A84" s="45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>
      <c r="A85" s="45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>
      <c r="A86" s="45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>
      <c r="A87" s="45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>
      <c r="A88" s="45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>
      <c r="A89" s="45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>
      <c r="A90" s="45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>
      <c r="A91" s="45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>
      <c r="A92" s="45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>
      <c r="A93" s="4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>
      <c r="A94" s="45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>
      <c r="A95" s="45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>
      <c r="A96" s="45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>
      <c r="A97" s="45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>
      <c r="A98" s="45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>
      <c r="A99" s="45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>
      <c r="A100" s="45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>
      <c r="A101" s="45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>
      <c r="A102" s="45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>
      <c r="A103" s="45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>
      <c r="A104" s="45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>
      <c r="A105" s="45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>
      <c r="A106" s="45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>
      <c r="A107" s="45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>
      <c r="A108" s="45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>
      <c r="A109" s="45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>
      <c r="A110" s="45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>
      <c r="A111" s="45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>
      <c r="A112" s="45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>
      <c r="A113" s="45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>
      <c r="A114" s="45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>
      <c r="A115" s="45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>
      <c r="A116" s="45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>
      <c r="A117" s="45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>
      <c r="A118" s="45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>
      <c r="A119" s="45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>
      <c r="A120" s="45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>
      <c r="A121" s="45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>
      <c r="A122" s="45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>
      <c r="A123" s="45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>
      <c r="A124" s="45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>
      <c r="A125" s="45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>
      <c r="A126" s="45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>
      <c r="A127" s="45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>
      <c r="A128" s="45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>
      <c r="A129" s="45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>
      <c r="A130" s="45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>
      <c r="A131" s="45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>
      <c r="A132" s="45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>
      <c r="A133" s="45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>
      <c r="A134" s="45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>
      <c r="A135" s="45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>
      <c r="A136" s="45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>
      <c r="A137" s="45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>
      <c r="A138" s="45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>
      <c r="A139" s="45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>
      <c r="A140" s="45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>
      <c r="A141" s="45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>
      <c r="A142" s="45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>
      <c r="A143" s="45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>
      <c r="A144" s="45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>
      <c r="A145" s="45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>
      <c r="A146" s="45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>
      <c r="A147" s="45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>
      <c r="A148" s="45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>
      <c r="A149" s="45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>
      <c r="A150" s="45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>
      <c r="A151" s="45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>
      <c r="A152" s="45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>
      <c r="A153" s="45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>
      <c r="A154" s="45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>
      <c r="A155" s="45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>
      <c r="A156" s="45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>
      <c r="A157" s="45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>
      <c r="A158" s="45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>
      <c r="A159" s="45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>
      <c r="A160" s="45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>
      <c r="A161" s="45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>
      <c r="A162" s="45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>
      <c r="A163" s="45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>
      <c r="A164" s="45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>
      <c r="A165" s="45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>
      <c r="A166" s="45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>
      <c r="A167" s="45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>
      <c r="A168" s="45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>
      <c r="A169" s="45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>
      <c r="A170" s="45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>
      <c r="A171" s="45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>
      <c r="A172" s="45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>
      <c r="A173" s="45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>
      <c r="A174" s="45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>
      <c r="A175" s="45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>
      <c r="A176" s="45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>
      <c r="A177" s="45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>
      <c r="A178" s="45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>
      <c r="A179" s="45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>
      <c r="A180" s="45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>
      <c r="A181" s="45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>
      <c r="A182" s="45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>
      <c r="A183" s="45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>
      <c r="A184" s="45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>
      <c r="A185" s="45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>
      <c r="A186" s="45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>
      <c r="A187" s="45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>
      <c r="A188" s="45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>
      <c r="A189" s="45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>
      <c r="A190" s="45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>
      <c r="A191" s="45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>
      <c r="A192" s="45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>
      <c r="A193" s="45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>
      <c r="A194" s="45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>
      <c r="A195" s="45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>
      <c r="A196" s="45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>
      <c r="A197" s="45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>
      <c r="A198" s="45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>
      <c r="A199" s="45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>
      <c r="A200" s="45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>
      <c r="A201" s="45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>
      <c r="A202" s="45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>
      <c r="A203" s="45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>
      <c r="A204" s="45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>
      <c r="A205" s="45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>
      <c r="A206" s="45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>
      <c r="A207" s="45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>
      <c r="A208" s="45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>
      <c r="A209" s="45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>
      <c r="A210" s="45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>
      <c r="A211" s="45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>
      <c r="A212" s="45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>
      <c r="A213" s="45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>
      <c r="A214" s="45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>
      <c r="A215" s="45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>
      <c r="A216" s="45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>
      <c r="A217" s="45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>
      <c r="A218" s="45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>
      <c r="A219" s="45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>
      <c r="A220" s="45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>
      <c r="A221" s="45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>
      <c r="A222" s="45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>
      <c r="A223" s="45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>
      <c r="A224" s="45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>
      <c r="A225" s="45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>
      <c r="A226" s="45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>
      <c r="A227" s="45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>
      <c r="A228" s="45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>
      <c r="A229" s="45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>
      <c r="A230" s="45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>
      <c r="A231" s="45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>
      <c r="A232" s="45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>
      <c r="A233" s="45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>
      <c r="A234" s="45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>
      <c r="A235" s="45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>
      <c r="A236" s="45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>
      <c r="A237" s="45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>
      <c r="A238" s="45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>
      <c r="A239" s="45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>
      <c r="A240" s="45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>
      <c r="A241" s="45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>
      <c r="A242" s="45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>
      <c r="A243" s="45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>
      <c r="A244" s="45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>
      <c r="A245" s="45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>
      <c r="A246" s="45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>
      <c r="A247" s="45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>
      <c r="A248" s="45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>
      <c r="A249" s="45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>
      <c r="A250" s="45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>
      <c r="A251" s="45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>
      <c r="A252" s="45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>
      <c r="A253" s="45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>
      <c r="A254" s="45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>
      <c r="A255" s="45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>
      <c r="A256" s="45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>
      <c r="A257" s="45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>
      <c r="A258" s="45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>
      <c r="A259" s="45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>
      <c r="A260" s="45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>
      <c r="A261" s="45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>
      <c r="A262" s="45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>
      <c r="A263" s="45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>
      <c r="A264" s="45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>
      <c r="A265" s="45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>
      <c r="A266" s="45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>
      <c r="A267" s="45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>
      <c r="A268" s="45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>
      <c r="A269" s="45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>
      <c r="A270" s="45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>
      <c r="A271" s="45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>
      <c r="A272" s="45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>
      <c r="A273" s="45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>
      <c r="A274" s="45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>
      <c r="A275" s="45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>
      <c r="A276" s="45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>
      <c r="A277" s="45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>
      <c r="A278" s="45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>
      <c r="A279" s="45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>
      <c r="A280" s="45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>
      <c r="A281" s="45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>
      <c r="A282" s="45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>
      <c r="A283" s="45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>
      <c r="A284" s="45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>
      <c r="A285" s="45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>
      <c r="A286" s="45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>
      <c r="A287" s="45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>
      <c r="A288" s="45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>
      <c r="A289" s="45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>
      <c r="A290" s="45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>
      <c r="A291" s="45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>
      <c r="A292" s="45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>
      <c r="A293" s="45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>
      <c r="A294" s="45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>
      <c r="A295" s="45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>
      <c r="A296" s="45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>
      <c r="A297" s="45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>
      <c r="A298" s="45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>
      <c r="A299" s="45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>
      <c r="A300" s="45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>
      <c r="A301" s="45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>
      <c r="A302" s="45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>
      <c r="A303" s="45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>
      <c r="A304" s="45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>
      <c r="A305" s="45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>
      <c r="A306" s="45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>
      <c r="A307" s="45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>
      <c r="A308" s="45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>
      <c r="A309" s="45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>
      <c r="A310" s="45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>
      <c r="A311" s="45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>
      <c r="A312" s="45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>
      <c r="A313" s="45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>
      <c r="A314" s="45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>
      <c r="A315" s="45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>
      <c r="A316" s="45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>
      <c r="A317" s="45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>
      <c r="A318" s="45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>
      <c r="A319" s="45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>
      <c r="A320" s="45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>
      <c r="A321" s="45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>
      <c r="A322" s="45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>
      <c r="A323" s="45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>
      <c r="A324" s="45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>
      <c r="A325" s="45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>
      <c r="A326" s="45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>
      <c r="A327" s="45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>
      <c r="A328" s="45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>
      <c r="A329" s="45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>
      <c r="A330" s="45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>
      <c r="A331" s="45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>
      <c r="A332" s="45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>
      <c r="A333" s="45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>
      <c r="A334" s="45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>
      <c r="A335" s="45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>
      <c r="A336" s="45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>
      <c r="A337" s="45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>
      <c r="A338" s="45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>
      <c r="A339" s="45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>
      <c r="A340" s="45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>
      <c r="A341" s="45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>
      <c r="A342" s="45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>
      <c r="A343" s="45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>
      <c r="A344" s="45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>
      <c r="A345" s="45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>
      <c r="A346" s="45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>
      <c r="A347" s="45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>
      <c r="A348" s="45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>
      <c r="A349" s="45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>
      <c r="A350" s="45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>
      <c r="A351" s="45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>
      <c r="A352" s="45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>
      <c r="A353" s="45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>
      <c r="A354" s="45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>
      <c r="A355" s="45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>
      <c r="A356" s="45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>
      <c r="A357" s="45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>
      <c r="A358" s="45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>
      <c r="A359" s="45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>
      <c r="A360" s="45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>
      <c r="A361" s="45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>
      <c r="A362" s="45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>
      <c r="A363" s="45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>
      <c r="A364" s="45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>
      <c r="A365" s="45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>
      <c r="A366" s="45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>
      <c r="A367" s="45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>
      <c r="A368" s="45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>
      <c r="A369" s="45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>
      <c r="A370" s="45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>
      <c r="A371" s="45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>
      <c r="A372" s="45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>
      <c r="A373" s="45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>
      <c r="A374" s="45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>
      <c r="A375" s="45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>
      <c r="A376" s="45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>
      <c r="A377" s="45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>
      <c r="A378" s="45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>
      <c r="A379" s="45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>
      <c r="A380" s="45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>
      <c r="A381" s="45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>
      <c r="A382" s="45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>
      <c r="A383" s="45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>
      <c r="A384" s="45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>
      <c r="A385" s="45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>
      <c r="A386" s="45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>
      <c r="A387" s="45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>
      <c r="A388" s="45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>
      <c r="A389" s="45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>
      <c r="A390" s="45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>
      <c r="A391" s="45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>
      <c r="A392" s="45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>
      <c r="A393" s="45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>
      <c r="A394" s="45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>
      <c r="A395" s="45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>
      <c r="A396" s="45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>
      <c r="A397" s="45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>
      <c r="A398" s="45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>
      <c r="A399" s="45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>
      <c r="A400" s="45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>
      <c r="A401" s="45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>
      <c r="A402" s="45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>
      <c r="A403" s="45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>
      <c r="A404" s="45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>
      <c r="A405" s="45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>
      <c r="A406" s="45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>
      <c r="A407" s="45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>
      <c r="A408" s="45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>
      <c r="A409" s="45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>
      <c r="A410" s="45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>
      <c r="A411" s="45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>
      <c r="A412" s="45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>
      <c r="A413" s="45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>
      <c r="A414" s="45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>
      <c r="A415" s="45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>
      <c r="A416" s="45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>
      <c r="A417" s="45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>
      <c r="A418" s="45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>
      <c r="A419" s="45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>
      <c r="A420" s="45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>
      <c r="A421" s="45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>
      <c r="A422" s="45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>
      <c r="A423" s="45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>
      <c r="A424" s="45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>
      <c r="A425" s="45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>
      <c r="A426" s="45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>
      <c r="A427" s="45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>
      <c r="A428" s="45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>
      <c r="A429" s="45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>
      <c r="A430" s="45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>
      <c r="A431" s="45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>
      <c r="A432" s="45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>
      <c r="A433" s="45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>
      <c r="A434" s="45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>
      <c r="A435" s="45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>
      <c r="A436" s="45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>
      <c r="A437" s="45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>
      <c r="A438" s="45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>
      <c r="A439" s="45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>
      <c r="A440" s="45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>
      <c r="A441" s="45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>
      <c r="A442" s="45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>
      <c r="A443" s="45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>
      <c r="A444" s="45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>
      <c r="A445" s="45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>
      <c r="A446" s="45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>
      <c r="A447" s="45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>
      <c r="A448" s="45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>
      <c r="A449" s="45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>
      <c r="A450" s="45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>
      <c r="A451" s="45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>
      <c r="A452" s="45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>
      <c r="A453" s="45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>
      <c r="A454" s="45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>
      <c r="A455" s="45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>
      <c r="A456" s="45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>
      <c r="A457" s="45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>
      <c r="A458" s="45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>
      <c r="A459" s="45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>
      <c r="A460" s="45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>
      <c r="A461" s="45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>
      <c r="A462" s="45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>
      <c r="A463" s="45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>
      <c r="A464" s="45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>
      <c r="A465" s="45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>
      <c r="A466" s="45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>
      <c r="A467" s="45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>
      <c r="A468" s="45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>
      <c r="A469" s="45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>
      <c r="A470" s="45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>
      <c r="A471" s="45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>
      <c r="A472" s="45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>
      <c r="A473" s="45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>
      <c r="A474" s="45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>
      <c r="A475" s="45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>
      <c r="A476" s="45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>
      <c r="A477" s="45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>
      <c r="A478" s="45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>
      <c r="A479" s="45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>
      <c r="A480" s="45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>
      <c r="A481" s="45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>
      <c r="A482" s="45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>
      <c r="A483" s="45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>
      <c r="A484" s="45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>
      <c r="A485" s="45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>
      <c r="A486" s="45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>
      <c r="A487" s="45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>
      <c r="A488" s="45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>
      <c r="A489" s="45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>
      <c r="A490" s="45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>
      <c r="A491" s="45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>
      <c r="A492" s="45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>
      <c r="A493" s="45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>
      <c r="A494" s="45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>
      <c r="A495" s="45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>
      <c r="A496" s="45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>
      <c r="A497" s="45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>
      <c r="A498" s="45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>
      <c r="A499" s="45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>
      <c r="A500" s="45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>
      <c r="A501" s="45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>
      <c r="A502" s="45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>
      <c r="A503" s="45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>
      <c r="A504" s="45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>
      <c r="A505" s="45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>
      <c r="A506" s="45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>
      <c r="A507" s="45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>
      <c r="A508" s="45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>
      <c r="A509" s="45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>
      <c r="A510" s="45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>
      <c r="A511" s="45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>
      <c r="A512" s="45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>
      <c r="A513" s="45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>
      <c r="A514" s="45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>
      <c r="A515" s="45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>
      <c r="A516" s="45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>
      <c r="A517" s="45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>
      <c r="A518" s="45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>
      <c r="A519" s="45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>
      <c r="A520" s="45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>
      <c r="A521" s="45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>
      <c r="A522" s="45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>
      <c r="A523" s="45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>
      <c r="A524" s="45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>
      <c r="A525" s="45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>
      <c r="A526" s="45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>
      <c r="A527" s="45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>
      <c r="A528" s="45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>
      <c r="A529" s="45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>
      <c r="A530" s="45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>
      <c r="A531" s="45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>
      <c r="A532" s="45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>
      <c r="A533" s="45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>
      <c r="A534" s="45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>
      <c r="A535" s="45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>
      <c r="A536" s="45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>
      <c r="A537" s="45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>
      <c r="A538" s="45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>
      <c r="A539" s="45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>
      <c r="A540" s="45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>
      <c r="A541" s="45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>
      <c r="A542" s="45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>
      <c r="A543" s="45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>
      <c r="A544" s="45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>
      <c r="A545" s="45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>
      <c r="A546" s="45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>
      <c r="A547" s="45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>
      <c r="A548" s="45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>
      <c r="A549" s="45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>
      <c r="A550" s="45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>
      <c r="A551" s="45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>
      <c r="A552" s="45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>
      <c r="A553" s="45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>
      <c r="A554" s="45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>
      <c r="A555" s="45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>
      <c r="A556" s="45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>
      <c r="A557" s="45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>
      <c r="A558" s="45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>
      <c r="A559" s="45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>
      <c r="A560" s="45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>
      <c r="A561" s="45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>
      <c r="A562" s="45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>
      <c r="A563" s="45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>
      <c r="A564" s="45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>
      <c r="A565" s="45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>
      <c r="A566" s="45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>
      <c r="A567" s="45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>
      <c r="A568" s="45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>
      <c r="A569" s="45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>
      <c r="A570" s="45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>
      <c r="A571" s="45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>
      <c r="A572" s="45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>
      <c r="A573" s="45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>
      <c r="A574" s="45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>
      <c r="A575" s="45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>
      <c r="A576" s="45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>
      <c r="A577" s="45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>
      <c r="A578" s="45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>
      <c r="A579" s="45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>
      <c r="A580" s="45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>
      <c r="A581" s="45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>
      <c r="A582" s="45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>
      <c r="A583" s="45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>
      <c r="A584" s="45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>
      <c r="A585" s="45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>
      <c r="A586" s="45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>
      <c r="A587" s="45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>
      <c r="A588" s="45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>
      <c r="A589" s="45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>
      <c r="A590" s="45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>
      <c r="A591" s="45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>
      <c r="A592" s="45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>
      <c r="A593" s="45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>
      <c r="A594" s="45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>
      <c r="A595" s="45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>
      <c r="A596" s="45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>
      <c r="A597" s="45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>
      <c r="A598" s="45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>
      <c r="A599" s="45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>
      <c r="A600" s="45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>
      <c r="A601" s="45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>
      <c r="A602" s="45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>
      <c r="A603" s="45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>
      <c r="A604" s="45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>
      <c r="A605" s="45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>
      <c r="A606" s="45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>
      <c r="A607" s="45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>
      <c r="A608" s="45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>
      <c r="A609" s="45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>
      <c r="A610" s="45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>
      <c r="A611" s="45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>
      <c r="A612" s="45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>
      <c r="A613" s="45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>
      <c r="A614" s="45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>
      <c r="A615" s="45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>
      <c r="A616" s="45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>
      <c r="A617" s="45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>
      <c r="A618" s="45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>
      <c r="A619" s="45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>
      <c r="A620" s="45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>
      <c r="A621" s="45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>
      <c r="A622" s="45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>
      <c r="A623" s="45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>
      <c r="A624" s="45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>
      <c r="A625" s="45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>
      <c r="A626" s="45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>
      <c r="A627" s="45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>
      <c r="A628" s="45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>
      <c r="A629" s="45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>
      <c r="A630" s="45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>
      <c r="A631" s="45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>
      <c r="A632" s="45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>
      <c r="A633" s="45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>
      <c r="A634" s="45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>
      <c r="A635" s="45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>
      <c r="A636" s="45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>
      <c r="A637" s="45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>
      <c r="A638" s="45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>
      <c r="A639" s="45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>
      <c r="A640" s="45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>
      <c r="A641" s="45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>
      <c r="A642" s="45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>
      <c r="A643" s="45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>
      <c r="A644" s="45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>
      <c r="A645" s="45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>
      <c r="A646" s="45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>
      <c r="A647" s="45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>
      <c r="A648" s="45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>
      <c r="A649" s="45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>
      <c r="A650" s="45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>
      <c r="A651" s="45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>
      <c r="A652" s="45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>
      <c r="A653" s="45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>
      <c r="A654" s="45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>
      <c r="A655" s="45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>
      <c r="A656" s="45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>
      <c r="A657" s="45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>
      <c r="A658" s="45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>
      <c r="A659" s="45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>
      <c r="A660" s="45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>
      <c r="A661" s="45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>
      <c r="A662" s="45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>
      <c r="A663" s="45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>
      <c r="A664" s="45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>
      <c r="A665" s="45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>
      <c r="A666" s="45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>
      <c r="A667" s="45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>
      <c r="A668" s="45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>
      <c r="A669" s="45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>
      <c r="A670" s="45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>
      <c r="A671" s="45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>
      <c r="A672" s="45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>
      <c r="A673" s="45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>
      <c r="A674" s="45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>
      <c r="A675" s="45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>
      <c r="A676" s="45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>
      <c r="A677" s="45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>
      <c r="A678" s="45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>
      <c r="A679" s="45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>
      <c r="A680" s="45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>
      <c r="A681" s="45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>
      <c r="A682" s="45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>
      <c r="A683" s="45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>
      <c r="A684" s="45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>
      <c r="A685" s="45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>
      <c r="A686" s="45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>
      <c r="A687" s="45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>
      <c r="A688" s="45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>
      <c r="A689" s="45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>
      <c r="A690" s="45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>
      <c r="A691" s="45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>
      <c r="A692" s="45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>
      <c r="A693" s="45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>
      <c r="A694" s="45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>
      <c r="A695" s="45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>
      <c r="A696" s="45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>
      <c r="A697" s="45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>
      <c r="A698" s="45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>
      <c r="A699" s="45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>
      <c r="A700" s="45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>
      <c r="A701" s="45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>
      <c r="A702" s="45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>
      <c r="A703" s="45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>
      <c r="A704" s="45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>
      <c r="A705" s="45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>
      <c r="A706" s="45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>
      <c r="A707" s="45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>
      <c r="A708" s="45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>
      <c r="A709" s="45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>
      <c r="A710" s="45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>
      <c r="A711" s="45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>
      <c r="A712" s="45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>
      <c r="A713" s="45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>
      <c r="A714" s="45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>
      <c r="A715" s="45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>
      <c r="A716" s="45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>
      <c r="A717" s="45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>
      <c r="A718" s="45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>
      <c r="A719" s="45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>
      <c r="A720" s="45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>
      <c r="A721" s="45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>
      <c r="A722" s="45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>
      <c r="A723" s="45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>
      <c r="A724" s="45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>
      <c r="A725" s="45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>
      <c r="A726" s="45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>
      <c r="A727" s="45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>
      <c r="A728" s="45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>
      <c r="A729" s="45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>
      <c r="A730" s="45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>
      <c r="A731" s="45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>
      <c r="A732" s="45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>
      <c r="A733" s="45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>
      <c r="A734" s="45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>
      <c r="A735" s="45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>
      <c r="A736" s="45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>
      <c r="A737" s="45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>
      <c r="A738" s="45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>
      <c r="A739" s="45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>
      <c r="A740" s="45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>
      <c r="A741" s="45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>
      <c r="A742" s="45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>
      <c r="A743" s="45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>
      <c r="A744" s="45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>
      <c r="A745" s="45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>
      <c r="A746" s="45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>
      <c r="A747" s="45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>
      <c r="A748" s="45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>
      <c r="A749" s="45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>
      <c r="A750" s="45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>
      <c r="A751" s="45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>
      <c r="A752" s="45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>
      <c r="A753" s="45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>
      <c r="A754" s="45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>
      <c r="A755" s="45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>
      <c r="A756" s="45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>
      <c r="A757" s="45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>
      <c r="A758" s="45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>
      <c r="A759" s="45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>
      <c r="A760" s="45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>
      <c r="A761" s="45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>
      <c r="A762" s="45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>
      <c r="A763" s="45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>
      <c r="A764" s="45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>
      <c r="A765" s="45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>
      <c r="A766" s="45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>
      <c r="A767" s="45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>
      <c r="A768" s="45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>
      <c r="A769" s="45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>
      <c r="A770" s="45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>
      <c r="A771" s="45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>
      <c r="A772" s="45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>
      <c r="A773" s="45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>
      <c r="A774" s="45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>
      <c r="A775" s="45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>
      <c r="A776" s="45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>
      <c r="A777" s="45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>
      <c r="A778" s="45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>
      <c r="A779" s="45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>
      <c r="A780" s="45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>
      <c r="A781" s="45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>
      <c r="A782" s="45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>
      <c r="A783" s="45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>
      <c r="A784" s="45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>
      <c r="A785" s="45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>
      <c r="A786" s="45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>
      <c r="A787" s="45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>
      <c r="A788" s="45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>
      <c r="A789" s="45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>
      <c r="A790" s="45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>
      <c r="A791" s="45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>
      <c r="A792" s="45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>
      <c r="A793" s="45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>
      <c r="A794" s="45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>
      <c r="A795" s="45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>
      <c r="A796" s="45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>
      <c r="A797" s="45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>
      <c r="A798" s="45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>
      <c r="A799" s="45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>
      <c r="A800" s="45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>
      <c r="A801" s="45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>
      <c r="A802" s="45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>
      <c r="A803" s="45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>
      <c r="A804" s="45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>
      <c r="A805" s="45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>
      <c r="A806" s="45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>
      <c r="A807" s="45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>
      <c r="A808" s="45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>
      <c r="A809" s="45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>
      <c r="A810" s="45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>
      <c r="A811" s="45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>
      <c r="A812" s="45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>
      <c r="A813" s="45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>
      <c r="A814" s="45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>
      <c r="A815" s="45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>
      <c r="A816" s="45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>
      <c r="A817" s="45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>
      <c r="A818" s="45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>
      <c r="A819" s="45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>
      <c r="A820" s="45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>
      <c r="A821" s="45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>
      <c r="A822" s="45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>
      <c r="A823" s="45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>
      <c r="A824" s="45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>
      <c r="A825" s="45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>
      <c r="A826" s="45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>
      <c r="A827" s="45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>
      <c r="A828" s="45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>
      <c r="A829" s="45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>
      <c r="A830" s="45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>
      <c r="A831" s="45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>
      <c r="A832" s="45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>
      <c r="A833" s="45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>
      <c r="A834" s="45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>
      <c r="A835" s="45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>
      <c r="A836" s="45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>
      <c r="A837" s="45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>
      <c r="A838" s="45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>
      <c r="A839" s="45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>
      <c r="A840" s="45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>
      <c r="A841" s="45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>
      <c r="A842" s="45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>
      <c r="A843" s="45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>
      <c r="A844" s="45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>
      <c r="A845" s="45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>
      <c r="A846" s="45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>
      <c r="A847" s="45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>
      <c r="A848" s="45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>
      <c r="A849" s="45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>
      <c r="A850" s="45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>
      <c r="A851" s="45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>
      <c r="A852" s="45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>
      <c r="A853" s="45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>
      <c r="A854" s="45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>
      <c r="A855" s="45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>
      <c r="A856" s="45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>
      <c r="A857" s="45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>
      <c r="A858" s="45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>
      <c r="A859" s="45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>
      <c r="A860" s="45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>
      <c r="A861" s="45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>
      <c r="A862" s="45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>
      <c r="A863" s="45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>
      <c r="A864" s="45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>
      <c r="A865" s="45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>
      <c r="A866" s="45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>
      <c r="A867" s="45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>
      <c r="A868" s="45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>
      <c r="A869" s="45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>
      <c r="A870" s="45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>
      <c r="A871" s="45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>
      <c r="A872" s="45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>
      <c r="A873" s="45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>
      <c r="A874" s="45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>
      <c r="A875" s="45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>
      <c r="A876" s="45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>
      <c r="A877" s="45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>
      <c r="A878" s="45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>
      <c r="A879" s="45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>
      <c r="A880" s="45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>
      <c r="A881" s="45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>
      <c r="A882" s="45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>
      <c r="A883" s="45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>
      <c r="A884" s="45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>
      <c r="A885" s="45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>
      <c r="A886" s="45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>
      <c r="A887" s="45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>
      <c r="A888" s="45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>
      <c r="A889" s="45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>
      <c r="A890" s="45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>
      <c r="A891" s="45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>
      <c r="A892" s="45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>
      <c r="A893" s="45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>
      <c r="A894" s="45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>
      <c r="A895" s="45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>
      <c r="A896" s="45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>
      <c r="A897" s="45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>
      <c r="A898" s="45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>
      <c r="A899" s="45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>
      <c r="A900" s="45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>
      <c r="A901" s="45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>
      <c r="A902" s="45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>
      <c r="A903" s="45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>
      <c r="A904" s="45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>
      <c r="A905" s="45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>
      <c r="A906" s="45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>
      <c r="A907" s="45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>
      <c r="A908" s="45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>
      <c r="A909" s="45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>
      <c r="A910" s="45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>
      <c r="A911" s="45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>
      <c r="A912" s="45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>
      <c r="A913" s="45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>
      <c r="A914" s="45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>
      <c r="A915" s="45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>
      <c r="A916" s="45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>
      <c r="A917" s="45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>
      <c r="A918" s="45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>
      <c r="A919" s="45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>
      <c r="A920" s="45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>
      <c r="A921" s="45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>
      <c r="A922" s="45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>
      <c r="A923" s="45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>
      <c r="A924" s="45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>
      <c r="A925" s="45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>
      <c r="A926" s="45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>
      <c r="A927" s="45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>
      <c r="A928" s="45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>
      <c r="A929" s="45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>
      <c r="A930" s="45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>
      <c r="A931" s="45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>
      <c r="A932" s="45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>
      <c r="A933" s="45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>
      <c r="A934" s="45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>
      <c r="A935" s="45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>
      <c r="A936" s="45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>
      <c r="A937" s="45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>
      <c r="A938" s="45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>
      <c r="A939" s="45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>
      <c r="A940" s="45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>
      <c r="A941" s="45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>
      <c r="A942" s="45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>
      <c r="A943" s="45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>
      <c r="A944" s="45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>
      <c r="A945" s="45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>
      <c r="A946" s="45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>
      <c r="A947" s="45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>
      <c r="A948" s="45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>
      <c r="A949" s="45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>
      <c r="A950" s="45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>
      <c r="A951" s="45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>
      <c r="A952" s="45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>
      <c r="A953" s="45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>
      <c r="A954" s="45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>
      <c r="A955" s="45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>
      <c r="A956" s="45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>
      <c r="A957" s="45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>
      <c r="A958" s="45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>
      <c r="A959" s="45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>
      <c r="A960" s="45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>
      <c r="A961" s="45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>
      <c r="A962" s="45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>
      <c r="A963" s="45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>
      <c r="A964" s="45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>
      <c r="A965" s="45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>
      <c r="A966" s="45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>
      <c r="A967" s="45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>
      <c r="A968" s="45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>
      <c r="A969" s="45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>
      <c r="A970" s="45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>
      <c r="A971" s="45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>
      <c r="A972" s="45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>
      <c r="A973" s="45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>
      <c r="A974" s="45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>
      <c r="A975" s="45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>
      <c r="A976" s="45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>
      <c r="A977" s="45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>
      <c r="A978" s="45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>
      <c r="A979" s="45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>
      <c r="A980" s="45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>
      <c r="A981" s="45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>
      <c r="A982" s="45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>
      <c r="A983" s="45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>
      <c r="A984" s="45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>
      <c r="A985" s="45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>
      <c r="A986" s="45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>
      <c r="A987" s="45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>
      <c r="A988" s="45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>
      <c r="A989" s="45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>
      <c r="A990" s="45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>
      <c r="A991" s="45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>
      <c r="A992" s="45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>
      <c r="A993" s="45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>
      <c r="A994" s="45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>
      <c r="A995" s="45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>
      <c r="A996" s="45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>
      <c r="A997" s="45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>
      <c r="A998" s="45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>
      <c r="A999" s="45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>
      <c r="A1000" s="45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T1000"/>
  <sheetViews>
    <sheetView workbookViewId="0"/>
  </sheetViews>
  <sheetFormatPr baseColWidth="10" defaultColWidth="11.1640625" defaultRowHeight="15" customHeight="1"/>
  <cols>
    <col min="1" max="1" width="39.6640625" customWidth="1"/>
  </cols>
  <sheetData>
    <row r="1" spans="1:20">
      <c r="A1" s="46" t="str">
        <f ca="1">IFERROR(__xludf.DUMMYFUNCTION("IMPORTRANGE(""https://docs.google.com/spreadsheets/d/1TmYEQeMzhvML_-KtL8YZJYP8jHrpYgyjF0MBmrMqL24/edit?gid=902977684#gid=902977684"",""01!A1:T"")"),"INDICADORES")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  <c r="T1" s="46"/>
    </row>
    <row r="2" spans="1:20">
      <c r="A2" s="46" t="str">
        <f ca="1">IFERROR(__xludf.DUMMYFUNCTION("""COMPUTED_VALUE"""),"PROGRAMAS IMPLEMENTADOS")</f>
        <v>PROGRAMAS IMPLEMENTADOS</v>
      </c>
      <c r="B2" s="46">
        <f ca="1">IFERROR(__xludf.DUMMYFUNCTION("""COMPUTED_VALUE"""),28)</f>
        <v>28</v>
      </c>
      <c r="C2" s="46" t="str">
        <f ca="1">IFERROR(__xludf.DUMMYFUNCTION("""COMPUTED_VALUE"""),"PROGRAMAS")</f>
        <v>PROGRAMAS</v>
      </c>
      <c r="D2" s="46" t="str">
        <f ca="1">IFERROR(__xludf.DUMMYFUNCTION("""COMPUTED_VALUE"""),"ASCENDENTE")</f>
        <v>ASCENDENTE</v>
      </c>
      <c r="E2" s="46" t="str">
        <f ca="1">IFERROR(__xludf.DUMMYFUNCTION("""COMPUTED_VALUE"""),"PROGRAMA OPERATIVO ANUAL")</f>
        <v>PROGRAMA OPERATIVO ANUAL</v>
      </c>
      <c r="F2" s="47">
        <f ca="1">IFERROR(__xludf.DUMMYFUNCTION("""COMPUTED_VALUE"""),107.142857142857)</f>
        <v>107.142857142857</v>
      </c>
      <c r="G2" s="46">
        <f ca="1">IFERROR(__xludf.DUMMYFUNCTION("""COMPUTED_VALUE"""),1)</f>
        <v>1</v>
      </c>
      <c r="H2" s="46">
        <f ca="1">IFERROR(__xludf.DUMMYFUNCTION("""COMPUTED_VALUE"""),3)</f>
        <v>3</v>
      </c>
      <c r="I2" s="46">
        <f ca="1">IFERROR(__xludf.DUMMYFUNCTION("""COMPUTED_VALUE"""),7)</f>
        <v>7</v>
      </c>
      <c r="J2" s="46">
        <f ca="1">IFERROR(__xludf.DUMMYFUNCTION("""COMPUTED_VALUE"""),3)</f>
        <v>3</v>
      </c>
      <c r="K2" s="46">
        <f ca="1">IFERROR(__xludf.DUMMYFUNCTION("""COMPUTED_VALUE"""),2)</f>
        <v>2</v>
      </c>
      <c r="L2" s="46">
        <f ca="1">IFERROR(__xludf.DUMMYFUNCTION("""COMPUTED_VALUE"""),4)</f>
        <v>4</v>
      </c>
      <c r="M2" s="46">
        <f ca="1">IFERROR(__xludf.DUMMYFUNCTION("""COMPUTED_VALUE"""),1)</f>
        <v>1</v>
      </c>
      <c r="N2" s="46">
        <f ca="1">IFERROR(__xludf.DUMMYFUNCTION("""COMPUTED_VALUE"""),1)</f>
        <v>1</v>
      </c>
      <c r="O2" s="46">
        <f ca="1">IFERROR(__xludf.DUMMYFUNCTION("""COMPUTED_VALUE"""),1)</f>
        <v>1</v>
      </c>
      <c r="P2" s="46">
        <f ca="1">IFERROR(__xludf.DUMMYFUNCTION("""COMPUTED_VALUE"""),0)</f>
        <v>0</v>
      </c>
      <c r="Q2" s="46">
        <f ca="1">IFERROR(__xludf.DUMMYFUNCTION("""COMPUTED_VALUE"""),3)</f>
        <v>3</v>
      </c>
      <c r="R2" s="46">
        <f ca="1">IFERROR(__xludf.DUMMYFUNCTION("""COMPUTED_VALUE"""),4)</f>
        <v>4</v>
      </c>
      <c r="S2" s="46">
        <f ca="1">IFERROR(__xludf.DUMMYFUNCTION("""COMPUTED_VALUE"""),30)</f>
        <v>30</v>
      </c>
      <c r="T2" s="46"/>
    </row>
    <row r="3" spans="1:20">
      <c r="A3" s="46" t="str">
        <f ca="1">IFERROR(__xludf.DUMMYFUNCTION("""COMPUTED_VALUE"""),"PERSONAS BENEFICIADAS")</f>
        <v>PERSONAS BENEFICIADAS</v>
      </c>
      <c r="B3" s="46">
        <f ca="1">IFERROR(__xludf.DUMMYFUNCTION("""COMPUTED_VALUE"""),3460)</f>
        <v>3460</v>
      </c>
      <c r="C3" s="46" t="str">
        <f ca="1">IFERROR(__xludf.DUMMYFUNCTION("""COMPUTED_VALUE"""),"NÚM. DE PERSONAS")</f>
        <v>NÚM. DE PERSONAS</v>
      </c>
      <c r="D3" s="46" t="str">
        <f ca="1">IFERROR(__xludf.DUMMYFUNCTION("""COMPUTED_VALUE"""),"ASCENDENTE")</f>
        <v>ASCENDENTE</v>
      </c>
      <c r="E3" s="46" t="str">
        <f ca="1">IFERROR(__xludf.DUMMYFUNCTION("""COMPUTED_VALUE"""),"PROGRAMA OPERATIVO ANUAL")</f>
        <v>PROGRAMA OPERATIVO ANUAL</v>
      </c>
      <c r="F3" s="47">
        <f ca="1">IFERROR(__xludf.DUMMYFUNCTION("""COMPUTED_VALUE"""),130.462427745664)</f>
        <v>130.462427745664</v>
      </c>
      <c r="G3" s="46">
        <f ca="1">IFERROR(__xludf.DUMMYFUNCTION("""COMPUTED_VALUE"""),40)</f>
        <v>40</v>
      </c>
      <c r="H3" s="46">
        <f ca="1">IFERROR(__xludf.DUMMYFUNCTION("""COMPUTED_VALUE"""),250)</f>
        <v>250</v>
      </c>
      <c r="I3" s="46">
        <f ca="1">IFERROR(__xludf.DUMMYFUNCTION("""COMPUTED_VALUE"""),470)</f>
        <v>470</v>
      </c>
      <c r="J3" s="46">
        <f ca="1">IFERROR(__xludf.DUMMYFUNCTION("""COMPUTED_VALUE"""),772)</f>
        <v>772</v>
      </c>
      <c r="K3" s="46">
        <f ca="1">IFERROR(__xludf.DUMMYFUNCTION("""COMPUTED_VALUE"""),810)</f>
        <v>810</v>
      </c>
      <c r="L3" s="46">
        <f ca="1">IFERROR(__xludf.DUMMYFUNCTION("""COMPUTED_VALUE"""),840)</f>
        <v>840</v>
      </c>
      <c r="M3" s="46">
        <f ca="1">IFERROR(__xludf.DUMMYFUNCTION("""COMPUTED_VALUE"""),38)</f>
        <v>38</v>
      </c>
      <c r="N3" s="46">
        <f ca="1">IFERROR(__xludf.DUMMYFUNCTION("""COMPUTED_VALUE"""),40)</f>
        <v>40</v>
      </c>
      <c r="O3" s="46">
        <f ca="1">IFERROR(__xludf.DUMMYFUNCTION("""COMPUTED_VALUE"""),26)</f>
        <v>26</v>
      </c>
      <c r="P3" s="46">
        <f ca="1">IFERROR(__xludf.DUMMYFUNCTION("""COMPUTED_VALUE"""),0)</f>
        <v>0</v>
      </c>
      <c r="Q3" s="46">
        <f ca="1">IFERROR(__xludf.DUMMYFUNCTION("""COMPUTED_VALUE"""),485)</f>
        <v>485</v>
      </c>
      <c r="R3" s="46">
        <f ca="1">IFERROR(__xludf.DUMMYFUNCTION("""COMPUTED_VALUE"""),743)</f>
        <v>743</v>
      </c>
      <c r="S3" s="46">
        <f ca="1">IFERROR(__xludf.DUMMYFUNCTION("""COMPUTED_VALUE"""),4514)</f>
        <v>4514</v>
      </c>
      <c r="T3" s="46"/>
    </row>
    <row r="4" spans="1:20">
      <c r="A4" s="46" t="str">
        <f ca="1">IFERROR(__xludf.DUMMYFUNCTION("""COMPUTED_VALUE"""),"NUMERO DE JUICIOS ATENDIDOS")</f>
        <v>NUMERO DE JUICIOS ATENDIDOS</v>
      </c>
      <c r="B4" s="46">
        <f ca="1">IFERROR(__xludf.DUMMYFUNCTION("""COMPUTED_VALUE"""),155)</f>
        <v>155</v>
      </c>
      <c r="C4" s="46" t="str">
        <f ca="1">IFERROR(__xludf.DUMMYFUNCTION("""COMPUTED_VALUE"""),"JUICIOS ATENDIDOS")</f>
        <v>JUICIOS ATENDIDOS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OPERATIVA")</f>
        <v>BITACORA OPERATIVA</v>
      </c>
      <c r="F4" s="47">
        <f ca="1">IFERROR(__xludf.DUMMYFUNCTION("""COMPUTED_VALUE"""),132.258064516129)</f>
        <v>132.258064516129</v>
      </c>
      <c r="G4" s="46">
        <f ca="1">IFERROR(__xludf.DUMMYFUNCTION("""COMPUTED_VALUE"""),10)</f>
        <v>10</v>
      </c>
      <c r="H4" s="46">
        <f ca="1">IFERROR(__xludf.DUMMYFUNCTION("""COMPUTED_VALUE"""),17)</f>
        <v>17</v>
      </c>
      <c r="I4" s="46">
        <f ca="1">IFERROR(__xludf.DUMMYFUNCTION("""COMPUTED_VALUE"""),14)</f>
        <v>14</v>
      </c>
      <c r="J4" s="46">
        <f ca="1">IFERROR(__xludf.DUMMYFUNCTION("""COMPUTED_VALUE"""),16)</f>
        <v>16</v>
      </c>
      <c r="K4" s="46">
        <f ca="1">IFERROR(__xludf.DUMMYFUNCTION("""COMPUTED_VALUE"""),14)</f>
        <v>14</v>
      </c>
      <c r="L4" s="46">
        <f ca="1">IFERROR(__xludf.DUMMYFUNCTION("""COMPUTED_VALUE"""),18)</f>
        <v>18</v>
      </c>
      <c r="M4" s="46">
        <f ca="1">IFERROR(__xludf.DUMMYFUNCTION("""COMPUTED_VALUE"""),11)</f>
        <v>11</v>
      </c>
      <c r="N4" s="46">
        <f ca="1">IFERROR(__xludf.DUMMYFUNCTION("""COMPUTED_VALUE"""),13)</f>
        <v>13</v>
      </c>
      <c r="O4" s="46">
        <f ca="1">IFERROR(__xludf.DUMMYFUNCTION("""COMPUTED_VALUE"""),13)</f>
        <v>13</v>
      </c>
      <c r="P4" s="46">
        <f ca="1">IFERROR(__xludf.DUMMYFUNCTION("""COMPUTED_VALUE"""),25)</f>
        <v>25</v>
      </c>
      <c r="Q4" s="46">
        <f ca="1">IFERROR(__xludf.DUMMYFUNCTION("""COMPUTED_VALUE"""),37)</f>
        <v>37</v>
      </c>
      <c r="R4" s="46">
        <f ca="1">IFERROR(__xludf.DUMMYFUNCTION("""COMPUTED_VALUE"""),17)</f>
        <v>17</v>
      </c>
      <c r="S4" s="46">
        <f ca="1">IFERROR(__xludf.DUMMYFUNCTION("""COMPUTED_VALUE"""),205)</f>
        <v>205</v>
      </c>
      <c r="T4" s="46"/>
    </row>
    <row r="5" spans="1:20">
      <c r="A5" s="46" t="str">
        <f ca="1">IFERROR(__xludf.DUMMYFUNCTION("""COMPUTED_VALUE"""),"NUMERO DE ASESORIAS JURIDICAS")</f>
        <v>NUMERO DE ASESORIAS JURIDICAS</v>
      </c>
      <c r="B5" s="46">
        <f ca="1">IFERROR(__xludf.DUMMYFUNCTION("""COMPUTED_VALUE"""),480)</f>
        <v>480</v>
      </c>
      <c r="C5" s="46" t="str">
        <f ca="1">IFERROR(__xludf.DUMMYFUNCTION("""COMPUTED_VALUE"""),"ASESORIAS ")</f>
        <v xml:space="preserve">ASESORIAS 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IFERROR(__xludf.DUMMYFUNCTION("""COMPUTED_VALUE"""),141.25)</f>
        <v>141.25</v>
      </c>
      <c r="G5" s="46">
        <f ca="1">IFERROR(__xludf.DUMMYFUNCTION("""COMPUTED_VALUE"""),48)</f>
        <v>48</v>
      </c>
      <c r="H5" s="46">
        <f ca="1">IFERROR(__xludf.DUMMYFUNCTION("""COMPUTED_VALUE"""),55)</f>
        <v>55</v>
      </c>
      <c r="I5" s="46">
        <f ca="1">IFERROR(__xludf.DUMMYFUNCTION("""COMPUTED_VALUE"""),46)</f>
        <v>46</v>
      </c>
      <c r="J5" s="46">
        <f ca="1">IFERROR(__xludf.DUMMYFUNCTION("""COMPUTED_VALUE"""),52)</f>
        <v>52</v>
      </c>
      <c r="K5" s="46">
        <f ca="1">IFERROR(__xludf.DUMMYFUNCTION("""COMPUTED_VALUE"""),54)</f>
        <v>54</v>
      </c>
      <c r="L5" s="46">
        <f ca="1">IFERROR(__xludf.DUMMYFUNCTION("""COMPUTED_VALUE"""),59)</f>
        <v>59</v>
      </c>
      <c r="M5" s="46">
        <f ca="1">IFERROR(__xludf.DUMMYFUNCTION("""COMPUTED_VALUE"""),58)</f>
        <v>58</v>
      </c>
      <c r="N5" s="46">
        <f ca="1">IFERROR(__xludf.DUMMYFUNCTION("""COMPUTED_VALUE"""),48)</f>
        <v>48</v>
      </c>
      <c r="O5" s="46">
        <f ca="1">IFERROR(__xludf.DUMMYFUNCTION("""COMPUTED_VALUE"""),37)</f>
        <v>37</v>
      </c>
      <c r="P5" s="46">
        <f ca="1">IFERROR(__xludf.DUMMYFUNCTION("""COMPUTED_VALUE"""),78)</f>
        <v>78</v>
      </c>
      <c r="Q5" s="46">
        <f ca="1">IFERROR(__xludf.DUMMYFUNCTION("""COMPUTED_VALUE"""),69)</f>
        <v>69</v>
      </c>
      <c r="R5" s="46">
        <f ca="1">IFERROR(__xludf.DUMMYFUNCTION("""COMPUTED_VALUE"""),74)</f>
        <v>74</v>
      </c>
      <c r="S5" s="46">
        <f ca="1">IFERROR(__xludf.DUMMYFUNCTION("""COMPUTED_VALUE"""),678)</f>
        <v>678</v>
      </c>
      <c r="T5" s="46"/>
    </row>
    <row r="6" spans="1:20">
      <c r="A6" s="46" t="str">
        <f ca="1">IFERROR(__xludf.DUMMYFUNCTION("""COMPUTED_VALUE"""),"PERSONAS BENEFICIADAS SIPPINA")</f>
        <v>PERSONAS BENEFICIADAS SIPPINA</v>
      </c>
      <c r="B6" s="46">
        <f ca="1">IFERROR(__xludf.DUMMYFUNCTION("""COMPUTED_VALUE"""),15)</f>
        <v>15</v>
      </c>
      <c r="C6" s="46" t="str">
        <f ca="1">IFERROR(__xludf.DUMMYFUNCTION("""COMPUTED_VALUE"""),"NÚM. DE PERSONAS")</f>
        <v>NÚM. DE PERSONAS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IFERROR(__xludf.DUMMYFUNCTION("""COMPUTED_VALUE"""),106.666666666666)</f>
        <v>106.666666666666</v>
      </c>
      <c r="G6" s="46">
        <f ca="1">IFERROR(__xludf.DUMMYFUNCTION("""COMPUTED_VALUE"""),0)</f>
        <v>0</v>
      </c>
      <c r="H6" s="46">
        <f ca="1">IFERROR(__xludf.DUMMYFUNCTION("""COMPUTED_VALUE"""),0)</f>
        <v>0</v>
      </c>
      <c r="I6" s="46">
        <f ca="1">IFERROR(__xludf.DUMMYFUNCTION("""COMPUTED_VALUE"""),0)</f>
        <v>0</v>
      </c>
      <c r="J6" s="46">
        <f ca="1">IFERROR(__xludf.DUMMYFUNCTION("""COMPUTED_VALUE"""),0)</f>
        <v>0</v>
      </c>
      <c r="K6" s="46">
        <f ca="1">IFERROR(__xludf.DUMMYFUNCTION("""COMPUTED_VALUE"""),0)</f>
        <v>0</v>
      </c>
      <c r="L6" s="46">
        <f ca="1">IFERROR(__xludf.DUMMYFUNCTION("""COMPUTED_VALUE"""),0)</f>
        <v>0</v>
      </c>
      <c r="M6" s="46">
        <f ca="1">IFERROR(__xludf.DUMMYFUNCTION("""COMPUTED_VALUE"""),8)</f>
        <v>8</v>
      </c>
      <c r="N6" s="46">
        <f ca="1">IFERROR(__xludf.DUMMYFUNCTION("""COMPUTED_VALUE"""),4)</f>
        <v>4</v>
      </c>
      <c r="O6" s="46">
        <f ca="1">IFERROR(__xludf.DUMMYFUNCTION("""COMPUTED_VALUE"""),1)</f>
        <v>1</v>
      </c>
      <c r="P6" s="46">
        <f ca="1">IFERROR(__xludf.DUMMYFUNCTION("""COMPUTED_VALUE"""),0)</f>
        <v>0</v>
      </c>
      <c r="Q6" s="46">
        <f ca="1">IFERROR(__xludf.DUMMYFUNCTION("""COMPUTED_VALUE"""),0)</f>
        <v>0</v>
      </c>
      <c r="R6" s="46">
        <f ca="1">IFERROR(__xludf.DUMMYFUNCTION("""COMPUTED_VALUE"""),3)</f>
        <v>3</v>
      </c>
      <c r="S6" s="46">
        <f ca="1">IFERROR(__xludf.DUMMYFUNCTION("""COMPUTED_VALUE"""),16)</f>
        <v>16</v>
      </c>
      <c r="T6" s="46"/>
    </row>
    <row r="7" spans="1:20">
      <c r="A7" s="46" t="str">
        <f ca="1">IFERROR(__xludf.DUMMYFUNCTION("""COMPUTED_VALUE"""),"AUTOS PUESTOS A DISPOCISION")</f>
        <v>AUTOS PUESTOS A DISPOCISION</v>
      </c>
      <c r="B7" s="46">
        <f ca="1">IFERROR(__xludf.DUMMYFUNCTION("""COMPUTED_VALUE"""),350)</f>
        <v>350</v>
      </c>
      <c r="C7" s="46" t="str">
        <f ca="1">IFERROR(__xludf.DUMMYFUNCTION("""COMPUTED_VALUE"""),"AUTOS")</f>
        <v>AUTOS</v>
      </c>
      <c r="D7" s="46" t="str">
        <f ca="1">IFERROR(__xludf.DUMMYFUNCTION("""COMPUTED_VALUE"""),"DESCENDENTE")</f>
        <v>DESCENDENTE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IFERROR(__xludf.DUMMYFUNCTION("""COMPUTED_VALUE"""),93.4285714285714)</f>
        <v>93.428571428571402</v>
      </c>
      <c r="G7" s="46">
        <f ca="1">IFERROR(__xludf.DUMMYFUNCTION("""COMPUTED_VALUE"""),6)</f>
        <v>6</v>
      </c>
      <c r="H7" s="46">
        <f ca="1">IFERROR(__xludf.DUMMYFUNCTION("""COMPUTED_VALUE"""),87)</f>
        <v>87</v>
      </c>
      <c r="I7" s="46">
        <f ca="1">IFERROR(__xludf.DUMMYFUNCTION("""COMPUTED_VALUE"""),45)</f>
        <v>45</v>
      </c>
      <c r="J7" s="46">
        <f ca="1">IFERROR(__xludf.DUMMYFUNCTION("""COMPUTED_VALUE"""),24)</f>
        <v>24</v>
      </c>
      <c r="K7" s="46">
        <f ca="1">IFERROR(__xludf.DUMMYFUNCTION("""COMPUTED_VALUE"""),17)</f>
        <v>17</v>
      </c>
      <c r="L7" s="46">
        <f ca="1">IFERROR(__xludf.DUMMYFUNCTION("""COMPUTED_VALUE"""),24)</f>
        <v>24</v>
      </c>
      <c r="M7" s="46">
        <f ca="1">IFERROR(__xludf.DUMMYFUNCTION("""COMPUTED_VALUE"""),20)</f>
        <v>20</v>
      </c>
      <c r="N7" s="46">
        <f ca="1">IFERROR(__xludf.DUMMYFUNCTION("""COMPUTED_VALUE"""),32)</f>
        <v>32</v>
      </c>
      <c r="O7" s="46">
        <f ca="1">IFERROR(__xludf.DUMMYFUNCTION("""COMPUTED_VALUE"""),40)</f>
        <v>40</v>
      </c>
      <c r="P7" s="46">
        <f ca="1">IFERROR(__xludf.DUMMYFUNCTION("""COMPUTED_VALUE"""),10)</f>
        <v>10</v>
      </c>
      <c r="Q7" s="46">
        <f ca="1">IFERROR(__xludf.DUMMYFUNCTION("""COMPUTED_VALUE"""),7)</f>
        <v>7</v>
      </c>
      <c r="R7" s="46">
        <f ca="1">IFERROR(__xludf.DUMMYFUNCTION("""COMPUTED_VALUE"""),15)</f>
        <v>15</v>
      </c>
      <c r="S7" s="46">
        <f ca="1">IFERROR(__xludf.DUMMYFUNCTION("""COMPUTED_VALUE"""),327)</f>
        <v>327</v>
      </c>
      <c r="T7" s="46"/>
    </row>
    <row r="8" spans="1:20">
      <c r="A8" s="46" t="str">
        <f ca="1">IFERROR(__xludf.DUMMYFUNCTION("""COMPUTED_VALUE"""),"MOTOS PUESTAS A DISPOSICION")</f>
        <v>MOTOS PUESTAS A DISPOSICION</v>
      </c>
      <c r="B8" s="46">
        <f ca="1">IFERROR(__xludf.DUMMYFUNCTION("""COMPUTED_VALUE"""),1050)</f>
        <v>1050</v>
      </c>
      <c r="C8" s="46" t="str">
        <f ca="1">IFERROR(__xludf.DUMMYFUNCTION("""COMPUTED_VALUE"""),"MOTOCICLETAS")</f>
        <v>MOTOCICLETAS</v>
      </c>
      <c r="D8" s="46" t="str">
        <f ca="1">IFERROR(__xludf.DUMMYFUNCTION("""COMPUTED_VALUE"""),"DESCENDENTE")</f>
        <v>DESCENDENTE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IFERROR(__xludf.DUMMYFUNCTION("""COMPUTED_VALUE"""),79.3333333333333)</f>
        <v>79.3333333333333</v>
      </c>
      <c r="G8" s="46">
        <f ca="1">IFERROR(__xludf.DUMMYFUNCTION("""COMPUTED_VALUE"""),70)</f>
        <v>70</v>
      </c>
      <c r="H8" s="46">
        <f ca="1">IFERROR(__xludf.DUMMYFUNCTION("""COMPUTED_VALUE"""),91)</f>
        <v>91</v>
      </c>
      <c r="I8" s="46">
        <f ca="1">IFERROR(__xludf.DUMMYFUNCTION("""COMPUTED_VALUE"""),105)</f>
        <v>105</v>
      </c>
      <c r="J8" s="46">
        <f ca="1">IFERROR(__xludf.DUMMYFUNCTION("""COMPUTED_VALUE"""),118)</f>
        <v>118</v>
      </c>
      <c r="K8" s="46">
        <f ca="1">IFERROR(__xludf.DUMMYFUNCTION("""COMPUTED_VALUE"""),110)</f>
        <v>110</v>
      </c>
      <c r="L8" s="46">
        <f ca="1">IFERROR(__xludf.DUMMYFUNCTION("""COMPUTED_VALUE"""),97)</f>
        <v>97</v>
      </c>
      <c r="M8" s="46">
        <f ca="1">IFERROR(__xludf.DUMMYFUNCTION("""COMPUTED_VALUE"""),52)</f>
        <v>52</v>
      </c>
      <c r="N8" s="46">
        <f ca="1">IFERROR(__xludf.DUMMYFUNCTION("""COMPUTED_VALUE"""),63)</f>
        <v>63</v>
      </c>
      <c r="O8" s="46">
        <f ca="1">IFERROR(__xludf.DUMMYFUNCTION("""COMPUTED_VALUE"""),41)</f>
        <v>41</v>
      </c>
      <c r="P8" s="46">
        <f ca="1">IFERROR(__xludf.DUMMYFUNCTION("""COMPUTED_VALUE"""),35)</f>
        <v>35</v>
      </c>
      <c r="Q8" s="46">
        <f ca="1">IFERROR(__xludf.DUMMYFUNCTION("""COMPUTED_VALUE"""),38)</f>
        <v>38</v>
      </c>
      <c r="R8" s="46">
        <f ca="1">IFERROR(__xludf.DUMMYFUNCTION("""COMPUTED_VALUE"""),13)</f>
        <v>13</v>
      </c>
      <c r="S8" s="46">
        <f ca="1">IFERROR(__xludf.DUMMYFUNCTION("""COMPUTED_VALUE"""),833)</f>
        <v>833</v>
      </c>
      <c r="T8" s="46"/>
    </row>
    <row r="9" spans="1:20">
      <c r="A9" s="46" t="str">
        <f ca="1">IFERROR(__xludf.DUMMYFUNCTION("""COMPUTED_VALUE"""),"PERSONAS DETENIDAS POR FALTAS ADMINISTRATIVAS")</f>
        <v>PERSONAS DETENIDAS POR FALTAS ADMINISTRATIVAS</v>
      </c>
      <c r="B9" s="46">
        <f ca="1">IFERROR(__xludf.DUMMYFUNCTION("""COMPUTED_VALUE"""),390)</f>
        <v>390</v>
      </c>
      <c r="C9" s="46" t="str">
        <f ca="1">IFERROR(__xludf.DUMMYFUNCTION("""COMPUTED_VALUE"""),"NÚM. DE PERSONAS")</f>
        <v>NÚM. DE PERSONAS</v>
      </c>
      <c r="D9" s="46" t="str">
        <f ca="1">IFERROR(__xludf.DUMMYFUNCTION("""COMPUTED_VALUE"""),"DESCENDENTE")</f>
        <v>DESCENDENTE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IFERROR(__xludf.DUMMYFUNCTION("""COMPUTED_VALUE"""),125.128205128205)</f>
        <v>125.128205128205</v>
      </c>
      <c r="G9" s="46">
        <f ca="1">IFERROR(__xludf.DUMMYFUNCTION("""COMPUTED_VALUE"""),25)</f>
        <v>25</v>
      </c>
      <c r="H9" s="46">
        <f ca="1">IFERROR(__xludf.DUMMYFUNCTION("""COMPUTED_VALUE"""),35)</f>
        <v>35</v>
      </c>
      <c r="I9" s="46">
        <f ca="1">IFERROR(__xludf.DUMMYFUNCTION("""COMPUTED_VALUE"""),58)</f>
        <v>58</v>
      </c>
      <c r="J9" s="46">
        <f ca="1">IFERROR(__xludf.DUMMYFUNCTION("""COMPUTED_VALUE"""),42)</f>
        <v>42</v>
      </c>
      <c r="K9" s="46">
        <f ca="1">IFERROR(__xludf.DUMMYFUNCTION("""COMPUTED_VALUE"""),48)</f>
        <v>48</v>
      </c>
      <c r="L9" s="46">
        <f ca="1">IFERROR(__xludf.DUMMYFUNCTION("""COMPUTED_VALUE"""),50)</f>
        <v>50</v>
      </c>
      <c r="M9" s="46">
        <f ca="1">IFERROR(__xludf.DUMMYFUNCTION("""COMPUTED_VALUE"""),23)</f>
        <v>23</v>
      </c>
      <c r="N9" s="46">
        <f ca="1">IFERROR(__xludf.DUMMYFUNCTION("""COMPUTED_VALUE"""),29)</f>
        <v>29</v>
      </c>
      <c r="O9" s="46">
        <f ca="1">IFERROR(__xludf.DUMMYFUNCTION("""COMPUTED_VALUE"""),16)</f>
        <v>16</v>
      </c>
      <c r="P9" s="46">
        <f ca="1">IFERROR(__xludf.DUMMYFUNCTION("""COMPUTED_VALUE"""),56)</f>
        <v>56</v>
      </c>
      <c r="Q9" s="46">
        <f ca="1">IFERROR(__xludf.DUMMYFUNCTION("""COMPUTED_VALUE"""),63)</f>
        <v>63</v>
      </c>
      <c r="R9" s="46">
        <f ca="1">IFERROR(__xludf.DUMMYFUNCTION("""COMPUTED_VALUE"""),43)</f>
        <v>43</v>
      </c>
      <c r="S9" s="46">
        <f ca="1">IFERROR(__xludf.DUMMYFUNCTION("""COMPUTED_VALUE"""),488)</f>
        <v>488</v>
      </c>
      <c r="T9" s="46"/>
    </row>
    <row r="10" spans="1:20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</row>
    <row r="11" spans="1:20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0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0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0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0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0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0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0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0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0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0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0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0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</row>
    <row r="41" spans="1:20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</row>
    <row r="42" spans="1:20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</row>
    <row r="43" spans="1:20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</row>
    <row r="44" spans="1:20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</row>
    <row r="45" spans="1:20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</row>
    <row r="46" spans="1:20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</row>
    <row r="47" spans="1:20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</row>
    <row r="48" spans="1:20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</row>
    <row r="49" spans="1:20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</row>
    <row r="50" spans="1:20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</row>
    <row r="51" spans="1:20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</row>
    <row r="52" spans="1:20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</row>
    <row r="53" spans="1:20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</row>
    <row r="54" spans="1:20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</row>
    <row r="55" spans="1:20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</row>
    <row r="56" spans="1:20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</row>
    <row r="57" spans="1:20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</row>
    <row r="58" spans="1:20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</row>
    <row r="59" spans="1:20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</row>
    <row r="60" spans="1:20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</row>
    <row r="61" spans="1:20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</row>
    <row r="62" spans="1:20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</row>
    <row r="63" spans="1:20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0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</row>
    <row r="67" spans="1:20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</row>
    <row r="68" spans="1:20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</row>
    <row r="69" spans="1:20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</row>
    <row r="70" spans="1:20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</row>
    <row r="71" spans="1:20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</row>
    <row r="72" spans="1:20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</row>
    <row r="73" spans="1:20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</row>
    <row r="74" spans="1:20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</row>
    <row r="75" spans="1:20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</row>
    <row r="76" spans="1:20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</row>
    <row r="77" spans="1:20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</row>
    <row r="78" spans="1:20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</row>
    <row r="79" spans="1:20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</row>
    <row r="80" spans="1:20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</row>
    <row r="81" spans="1:20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</row>
    <row r="82" spans="1:20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</row>
    <row r="83" spans="1:20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</row>
    <row r="84" spans="1:20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</row>
    <row r="85" spans="1:20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</row>
    <row r="86" spans="1:20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</row>
    <row r="87" spans="1:20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</row>
    <row r="88" spans="1:20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</row>
    <row r="89" spans="1:20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</row>
    <row r="90" spans="1:20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</row>
    <row r="91" spans="1:20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</row>
    <row r="92" spans="1:20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</row>
    <row r="93" spans="1:20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</row>
    <row r="94" spans="1:20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</row>
    <row r="95" spans="1:20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</row>
    <row r="96" spans="1:20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</row>
    <row r="97" spans="1:20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</row>
    <row r="98" spans="1:20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</row>
    <row r="99" spans="1:20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</row>
    <row r="100" spans="1:20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</row>
    <row r="101" spans="1:20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</row>
    <row r="102" spans="1:20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</row>
    <row r="103" spans="1:20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</row>
    <row r="104" spans="1:20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</row>
    <row r="105" spans="1:20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</row>
    <row r="106" spans="1:20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</row>
    <row r="107" spans="1:20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</row>
    <row r="108" spans="1:20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</row>
    <row r="109" spans="1:20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</row>
    <row r="110" spans="1:20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</row>
    <row r="111" spans="1:20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</row>
    <row r="112" spans="1:20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</row>
    <row r="113" spans="1:20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</row>
    <row r="114" spans="1:20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</row>
    <row r="115" spans="1:20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</row>
    <row r="116" spans="1:20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</row>
    <row r="117" spans="1:20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</row>
    <row r="118" spans="1:20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</row>
    <row r="119" spans="1:20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</row>
    <row r="120" spans="1:20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</row>
    <row r="121" spans="1:20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</row>
    <row r="122" spans="1:20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</row>
    <row r="123" spans="1:20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</row>
    <row r="124" spans="1:20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</row>
    <row r="125" spans="1:20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</row>
    <row r="126" spans="1:20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</row>
    <row r="127" spans="1:20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</row>
    <row r="128" spans="1:20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</row>
    <row r="129" spans="1:20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</row>
    <row r="130" spans="1:20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</row>
    <row r="131" spans="1:20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</row>
    <row r="132" spans="1:20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</row>
    <row r="133" spans="1:20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</row>
    <row r="134" spans="1:20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</row>
    <row r="135" spans="1:20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</row>
    <row r="136" spans="1:20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</row>
    <row r="137" spans="1:20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</row>
    <row r="138" spans="1:20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</row>
    <row r="139" spans="1:20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</row>
    <row r="140" spans="1:20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</row>
    <row r="141" spans="1:20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</row>
    <row r="142" spans="1:20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</row>
    <row r="143" spans="1:20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</row>
    <row r="144" spans="1:20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</row>
    <row r="145" spans="1:20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</row>
    <row r="146" spans="1:20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</row>
    <row r="147" spans="1:20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</row>
    <row r="148" spans="1:20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</row>
    <row r="149" spans="1:20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</row>
    <row r="150" spans="1:20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</row>
    <row r="151" spans="1:20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</row>
    <row r="152" spans="1:20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</row>
    <row r="153" spans="1:20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</row>
    <row r="154" spans="1:20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</row>
    <row r="155" spans="1:20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</row>
    <row r="156" spans="1:20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</row>
    <row r="157" spans="1:20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</row>
    <row r="158" spans="1:20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</row>
    <row r="159" spans="1:20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</row>
    <row r="160" spans="1:20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</row>
    <row r="161" spans="1:20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</row>
    <row r="162" spans="1:20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</row>
    <row r="163" spans="1:20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</row>
    <row r="164" spans="1:20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</row>
    <row r="165" spans="1:20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</row>
    <row r="166" spans="1:20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</row>
    <row r="167" spans="1:20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</row>
    <row r="168" spans="1:20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</row>
    <row r="169" spans="1:20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</row>
    <row r="170" spans="1:20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</row>
    <row r="171" spans="1:20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</row>
    <row r="172" spans="1:20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</row>
    <row r="173" spans="1:20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</row>
    <row r="174" spans="1:20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</row>
    <row r="175" spans="1:20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</row>
    <row r="176" spans="1:20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</row>
    <row r="177" spans="1:20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</row>
    <row r="178" spans="1:20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</row>
    <row r="179" spans="1:20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</row>
    <row r="180" spans="1:20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</row>
    <row r="181" spans="1:20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</row>
    <row r="182" spans="1:20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</row>
    <row r="183" spans="1:20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</row>
    <row r="184" spans="1:20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</row>
    <row r="185" spans="1:20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</row>
    <row r="186" spans="1:20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</row>
    <row r="187" spans="1:20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</row>
    <row r="188" spans="1:20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</row>
    <row r="189" spans="1:20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</row>
    <row r="190" spans="1:20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</row>
    <row r="191" spans="1:20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</row>
    <row r="192" spans="1:20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</row>
    <row r="193" spans="1:20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</row>
    <row r="194" spans="1:20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</row>
    <row r="195" spans="1:20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</row>
    <row r="196" spans="1:20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</row>
    <row r="197" spans="1:20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</row>
    <row r="198" spans="1:20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</row>
    <row r="199" spans="1:20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</row>
    <row r="200" spans="1:20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</row>
    <row r="201" spans="1:20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</row>
    <row r="202" spans="1:20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</row>
    <row r="203" spans="1:20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</row>
    <row r="204" spans="1:20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</row>
    <row r="205" spans="1:20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</row>
    <row r="206" spans="1:20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</row>
    <row r="207" spans="1:20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</row>
    <row r="208" spans="1:20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</row>
    <row r="209" spans="1:20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</row>
    <row r="210" spans="1:20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</row>
    <row r="211" spans="1:20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</row>
    <row r="212" spans="1:20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</row>
    <row r="213" spans="1:20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</row>
    <row r="214" spans="1:20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</row>
    <row r="215" spans="1:20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</row>
    <row r="216" spans="1:20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</row>
    <row r="217" spans="1:20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</row>
    <row r="218" spans="1:20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</row>
    <row r="219" spans="1:20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</row>
    <row r="220" spans="1:20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</row>
    <row r="221" spans="1:20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</row>
    <row r="222" spans="1:20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</row>
    <row r="223" spans="1:20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</row>
    <row r="224" spans="1:20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</row>
    <row r="225" spans="1:20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</row>
    <row r="226" spans="1:20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</row>
    <row r="227" spans="1:20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</row>
    <row r="228" spans="1:20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</row>
    <row r="229" spans="1:20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</row>
    <row r="230" spans="1:20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</row>
    <row r="231" spans="1:20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</row>
    <row r="232" spans="1:20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</row>
    <row r="233" spans="1:20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</row>
    <row r="234" spans="1:20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</row>
    <row r="235" spans="1:20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</row>
    <row r="236" spans="1:20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</row>
    <row r="237" spans="1:20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</row>
    <row r="238" spans="1:20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</row>
    <row r="239" spans="1:20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</row>
    <row r="240" spans="1:20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</row>
    <row r="241" spans="1:20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</row>
    <row r="242" spans="1:20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</row>
    <row r="243" spans="1:20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</row>
    <row r="244" spans="1:20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</row>
    <row r="245" spans="1:20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</row>
    <row r="246" spans="1:20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</row>
    <row r="247" spans="1:20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</row>
    <row r="248" spans="1:20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</row>
    <row r="249" spans="1:20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</row>
    <row r="250" spans="1:20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</row>
    <row r="251" spans="1:20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</row>
    <row r="252" spans="1:20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</row>
    <row r="253" spans="1:20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</row>
    <row r="254" spans="1:20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</row>
    <row r="255" spans="1:20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</row>
    <row r="256" spans="1:20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</row>
    <row r="257" spans="1:20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</row>
    <row r="258" spans="1:20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</row>
    <row r="259" spans="1:20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</row>
    <row r="260" spans="1:20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</row>
    <row r="261" spans="1:20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</row>
    <row r="262" spans="1:20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</row>
    <row r="263" spans="1:20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</row>
    <row r="264" spans="1:20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</row>
    <row r="265" spans="1:20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</row>
    <row r="266" spans="1:20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</row>
    <row r="267" spans="1:20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</row>
    <row r="268" spans="1:20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</row>
    <row r="269" spans="1:20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</row>
    <row r="270" spans="1:20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</row>
    <row r="271" spans="1:20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</row>
    <row r="272" spans="1:20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</row>
    <row r="273" spans="1:20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</row>
    <row r="274" spans="1:20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</row>
    <row r="275" spans="1:20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</row>
    <row r="276" spans="1:20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</row>
    <row r="277" spans="1:20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</row>
    <row r="278" spans="1:20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</row>
    <row r="279" spans="1:20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</row>
    <row r="280" spans="1:20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</row>
    <row r="281" spans="1:20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</row>
    <row r="282" spans="1:20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</row>
    <row r="283" spans="1:20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</row>
    <row r="284" spans="1:20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</row>
    <row r="285" spans="1:20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</row>
    <row r="286" spans="1:20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</row>
    <row r="287" spans="1:20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</row>
    <row r="288" spans="1:20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</row>
    <row r="289" spans="1:20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</row>
    <row r="290" spans="1:20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</row>
    <row r="291" spans="1:20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</row>
    <row r="292" spans="1:20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</row>
    <row r="293" spans="1:20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</row>
    <row r="294" spans="1:20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</row>
    <row r="295" spans="1:20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</row>
    <row r="296" spans="1:20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</row>
    <row r="297" spans="1:20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</row>
    <row r="298" spans="1:20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</row>
    <row r="299" spans="1:20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</row>
    <row r="300" spans="1:20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</row>
    <row r="301" spans="1:20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</row>
    <row r="302" spans="1:20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</row>
    <row r="303" spans="1:20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</row>
    <row r="304" spans="1:20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</row>
    <row r="305" spans="1:20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</row>
    <row r="306" spans="1:20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</row>
    <row r="307" spans="1:20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</row>
    <row r="308" spans="1:20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</row>
    <row r="309" spans="1:20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</row>
    <row r="310" spans="1:20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</row>
    <row r="311" spans="1:20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</row>
    <row r="312" spans="1:20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</row>
    <row r="313" spans="1:20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</row>
    <row r="314" spans="1:20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</row>
    <row r="315" spans="1:20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</row>
    <row r="316" spans="1:20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</row>
    <row r="317" spans="1:20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</row>
    <row r="318" spans="1:20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</row>
    <row r="319" spans="1:20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</row>
    <row r="320" spans="1:20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</row>
    <row r="321" spans="1:20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</row>
    <row r="322" spans="1:20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</row>
    <row r="323" spans="1:20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</row>
    <row r="324" spans="1:20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</row>
    <row r="325" spans="1:20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</row>
    <row r="326" spans="1:20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</row>
    <row r="327" spans="1:20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</row>
    <row r="328" spans="1:20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</row>
    <row r="329" spans="1:20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</row>
    <row r="330" spans="1:20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</row>
    <row r="331" spans="1:20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</row>
    <row r="332" spans="1:20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</row>
    <row r="333" spans="1:20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</row>
    <row r="334" spans="1:20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</row>
    <row r="335" spans="1:20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</row>
    <row r="336" spans="1:20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</row>
    <row r="337" spans="1:20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</row>
    <row r="338" spans="1:20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</row>
    <row r="339" spans="1:20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</row>
    <row r="340" spans="1:20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</row>
    <row r="341" spans="1:20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</row>
    <row r="342" spans="1:20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</row>
    <row r="343" spans="1:20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</row>
    <row r="344" spans="1:20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</row>
    <row r="345" spans="1:20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</row>
    <row r="346" spans="1:20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</row>
    <row r="347" spans="1:20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</row>
    <row r="348" spans="1:20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</row>
    <row r="349" spans="1:20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</row>
    <row r="350" spans="1:20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</row>
    <row r="351" spans="1:20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</row>
    <row r="352" spans="1:20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</row>
    <row r="353" spans="1:20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</row>
    <row r="354" spans="1:20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</row>
    <row r="355" spans="1:20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</row>
    <row r="356" spans="1:20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</row>
    <row r="357" spans="1:20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</row>
    <row r="358" spans="1:20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</row>
    <row r="359" spans="1:20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</row>
    <row r="360" spans="1:20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</row>
    <row r="361" spans="1:20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</row>
    <row r="362" spans="1:20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</row>
    <row r="363" spans="1:20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</row>
    <row r="364" spans="1:20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</row>
    <row r="365" spans="1:20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</row>
    <row r="366" spans="1:20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</row>
    <row r="367" spans="1:20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</row>
    <row r="368" spans="1:20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</row>
    <row r="369" spans="1:20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</row>
    <row r="370" spans="1:20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</row>
    <row r="371" spans="1:20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</row>
    <row r="372" spans="1:20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</row>
    <row r="373" spans="1:20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</row>
    <row r="374" spans="1:20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</row>
    <row r="375" spans="1:20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</row>
    <row r="376" spans="1:20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</row>
    <row r="377" spans="1:20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</row>
    <row r="378" spans="1:20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</row>
    <row r="379" spans="1:20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</row>
    <row r="380" spans="1:20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</row>
    <row r="381" spans="1:20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</row>
    <row r="382" spans="1:20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</row>
    <row r="383" spans="1:20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</row>
    <row r="384" spans="1:20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</row>
    <row r="385" spans="1:20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</row>
    <row r="386" spans="1:20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</row>
    <row r="387" spans="1:20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</row>
    <row r="388" spans="1:20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</row>
    <row r="389" spans="1:20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</row>
    <row r="390" spans="1:20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</row>
    <row r="391" spans="1:20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</row>
    <row r="392" spans="1:20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</row>
    <row r="393" spans="1:20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</row>
    <row r="394" spans="1:20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</row>
    <row r="395" spans="1:20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</row>
    <row r="396" spans="1:20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</row>
    <row r="397" spans="1:20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</row>
    <row r="398" spans="1:20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</row>
    <row r="399" spans="1:20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</row>
    <row r="400" spans="1:20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</row>
    <row r="401" spans="1:20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</row>
    <row r="402" spans="1:20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</row>
    <row r="403" spans="1:20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</row>
    <row r="404" spans="1:20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</row>
    <row r="405" spans="1:20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</row>
    <row r="406" spans="1:20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</row>
    <row r="407" spans="1:20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</row>
    <row r="408" spans="1:20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</row>
    <row r="409" spans="1:20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</row>
    <row r="410" spans="1:20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</row>
    <row r="411" spans="1:20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</row>
    <row r="412" spans="1:20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</row>
    <row r="413" spans="1:20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</row>
    <row r="414" spans="1:20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</row>
    <row r="415" spans="1:20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</row>
    <row r="416" spans="1:20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</row>
    <row r="417" spans="1:20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</row>
    <row r="418" spans="1:20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</row>
    <row r="419" spans="1:20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</row>
    <row r="420" spans="1:20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</row>
    <row r="421" spans="1:20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</row>
    <row r="422" spans="1:20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</row>
    <row r="423" spans="1:20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</row>
    <row r="424" spans="1:20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</row>
    <row r="425" spans="1:20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</row>
    <row r="426" spans="1:20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</row>
    <row r="427" spans="1:20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</row>
    <row r="428" spans="1:20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</row>
    <row r="429" spans="1:20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</row>
    <row r="430" spans="1:20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</row>
    <row r="431" spans="1:20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</row>
    <row r="432" spans="1:20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</row>
    <row r="433" spans="1:20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</row>
    <row r="434" spans="1:20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</row>
    <row r="435" spans="1:20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</row>
    <row r="436" spans="1:20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</row>
    <row r="437" spans="1:20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</row>
    <row r="438" spans="1:20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</row>
    <row r="439" spans="1:20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</row>
    <row r="440" spans="1:20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</row>
    <row r="441" spans="1:20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</row>
    <row r="442" spans="1:20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</row>
    <row r="443" spans="1:20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</row>
    <row r="444" spans="1:20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</row>
    <row r="445" spans="1:20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</row>
    <row r="446" spans="1:20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</row>
    <row r="447" spans="1:20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</row>
    <row r="448" spans="1:20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</row>
    <row r="449" spans="1:20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</row>
    <row r="450" spans="1:20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</row>
    <row r="451" spans="1:20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</row>
    <row r="452" spans="1:20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</row>
    <row r="453" spans="1:20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</row>
    <row r="454" spans="1:20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</row>
    <row r="455" spans="1:20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</row>
    <row r="456" spans="1:20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</row>
    <row r="457" spans="1:20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</row>
    <row r="458" spans="1:20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</row>
    <row r="459" spans="1:20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</row>
    <row r="460" spans="1:20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</row>
    <row r="461" spans="1:20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</row>
    <row r="462" spans="1:20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</row>
    <row r="463" spans="1:20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</row>
    <row r="464" spans="1:20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</row>
    <row r="465" spans="1:20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</row>
    <row r="466" spans="1:20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</row>
    <row r="467" spans="1:20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</row>
    <row r="468" spans="1:20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</row>
    <row r="469" spans="1:20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</row>
    <row r="470" spans="1:20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</row>
    <row r="471" spans="1:20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</row>
    <row r="472" spans="1:20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</row>
    <row r="473" spans="1:20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</row>
    <row r="474" spans="1:20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</row>
    <row r="475" spans="1:20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</row>
    <row r="476" spans="1:20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</row>
    <row r="477" spans="1:20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</row>
    <row r="478" spans="1:20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</row>
    <row r="479" spans="1:20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</row>
    <row r="480" spans="1:20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</row>
    <row r="481" spans="1:20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</row>
    <row r="482" spans="1:20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</row>
    <row r="483" spans="1:20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</row>
    <row r="484" spans="1:20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</row>
    <row r="485" spans="1:20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</row>
    <row r="486" spans="1:20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</row>
    <row r="487" spans="1:20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</row>
    <row r="488" spans="1:20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</row>
    <row r="489" spans="1:20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</row>
    <row r="490" spans="1:20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</row>
    <row r="491" spans="1:20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</row>
    <row r="492" spans="1:20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</row>
    <row r="493" spans="1:20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</row>
    <row r="494" spans="1:20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</row>
    <row r="495" spans="1:20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</row>
    <row r="496" spans="1:20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</row>
    <row r="497" spans="1:20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</row>
    <row r="498" spans="1:20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</row>
    <row r="499" spans="1:20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</row>
    <row r="500" spans="1:20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</row>
    <row r="501" spans="1:20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</row>
    <row r="502" spans="1:20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</row>
    <row r="503" spans="1:20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</row>
    <row r="504" spans="1:20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</row>
    <row r="505" spans="1:20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</row>
    <row r="506" spans="1:20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</row>
    <row r="507" spans="1:20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</row>
    <row r="508" spans="1:20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</row>
    <row r="509" spans="1:20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</row>
    <row r="510" spans="1:20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</row>
    <row r="511" spans="1:20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</row>
    <row r="512" spans="1:20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</row>
    <row r="513" spans="1:20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</row>
    <row r="514" spans="1:20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</row>
    <row r="515" spans="1:20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</row>
    <row r="516" spans="1:20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</row>
    <row r="517" spans="1:20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</row>
    <row r="518" spans="1:20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</row>
    <row r="519" spans="1:20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</row>
    <row r="520" spans="1:20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</row>
    <row r="521" spans="1:20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</row>
    <row r="522" spans="1:20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</row>
    <row r="523" spans="1:20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</row>
    <row r="524" spans="1:20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</row>
    <row r="525" spans="1:20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</row>
    <row r="526" spans="1:20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</row>
    <row r="527" spans="1:20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</row>
    <row r="528" spans="1:20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</row>
    <row r="529" spans="1:20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</row>
    <row r="530" spans="1:20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</row>
    <row r="531" spans="1:20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</row>
    <row r="532" spans="1:20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</row>
    <row r="533" spans="1:20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</row>
    <row r="534" spans="1:20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</row>
    <row r="535" spans="1:20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</row>
    <row r="536" spans="1:20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</row>
    <row r="537" spans="1:20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</row>
    <row r="538" spans="1:20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</row>
    <row r="539" spans="1:20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</row>
    <row r="540" spans="1:20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</row>
    <row r="541" spans="1:20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</row>
    <row r="542" spans="1:20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</row>
    <row r="543" spans="1:20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</row>
    <row r="544" spans="1:20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</row>
    <row r="545" spans="1:20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</row>
    <row r="546" spans="1:20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</row>
    <row r="547" spans="1:20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</row>
    <row r="548" spans="1:20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</row>
    <row r="549" spans="1:20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</row>
    <row r="550" spans="1:20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</row>
    <row r="551" spans="1:20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</row>
    <row r="552" spans="1:20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</row>
    <row r="553" spans="1:20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</row>
    <row r="554" spans="1:20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</row>
    <row r="555" spans="1:20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</row>
    <row r="556" spans="1:20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</row>
    <row r="557" spans="1:20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</row>
    <row r="558" spans="1:20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</row>
    <row r="559" spans="1:20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</row>
    <row r="560" spans="1:20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</row>
    <row r="561" spans="1:20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</row>
    <row r="562" spans="1:20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</row>
    <row r="563" spans="1:20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</row>
    <row r="564" spans="1:20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</row>
    <row r="565" spans="1:20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</row>
    <row r="566" spans="1:20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</row>
    <row r="567" spans="1:20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</row>
    <row r="568" spans="1:20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</row>
    <row r="569" spans="1:20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</row>
    <row r="570" spans="1:20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</row>
    <row r="571" spans="1:20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</row>
    <row r="572" spans="1:20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</row>
    <row r="573" spans="1:20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</row>
    <row r="574" spans="1:20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</row>
    <row r="575" spans="1:20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</row>
    <row r="576" spans="1:20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</row>
    <row r="577" spans="1:20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</row>
    <row r="578" spans="1:20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</row>
    <row r="579" spans="1:20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</row>
    <row r="580" spans="1:20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</row>
    <row r="581" spans="1:20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</row>
    <row r="582" spans="1:20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</row>
    <row r="583" spans="1:20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</row>
    <row r="584" spans="1:20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</row>
    <row r="585" spans="1:20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</row>
    <row r="586" spans="1:20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</row>
    <row r="587" spans="1:20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</row>
    <row r="588" spans="1:20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</row>
    <row r="589" spans="1:20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</row>
    <row r="590" spans="1:20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</row>
    <row r="591" spans="1:20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</row>
    <row r="592" spans="1:20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</row>
    <row r="593" spans="1:20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</row>
    <row r="594" spans="1:20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</row>
    <row r="595" spans="1:20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</row>
    <row r="596" spans="1:20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</row>
    <row r="597" spans="1:20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</row>
    <row r="598" spans="1:20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</row>
    <row r="599" spans="1:20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</row>
    <row r="600" spans="1:20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</row>
    <row r="601" spans="1:20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</row>
    <row r="602" spans="1:20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</row>
    <row r="603" spans="1:20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</row>
    <row r="604" spans="1:20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</row>
    <row r="605" spans="1:20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</row>
    <row r="606" spans="1:20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</row>
    <row r="607" spans="1:20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</row>
    <row r="608" spans="1:20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</row>
    <row r="609" spans="1:20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</row>
    <row r="610" spans="1:20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</row>
    <row r="611" spans="1:20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</row>
    <row r="612" spans="1:20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</row>
    <row r="613" spans="1:20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</row>
    <row r="614" spans="1:20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</row>
    <row r="615" spans="1:20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</row>
    <row r="616" spans="1:20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</row>
    <row r="617" spans="1:20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</row>
    <row r="618" spans="1:20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</row>
    <row r="619" spans="1:20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</row>
    <row r="620" spans="1:20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</row>
    <row r="621" spans="1:20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</row>
    <row r="622" spans="1:20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</row>
    <row r="623" spans="1:20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</row>
    <row r="624" spans="1:20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</row>
    <row r="625" spans="1:20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</row>
    <row r="626" spans="1:20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</row>
    <row r="627" spans="1:20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</row>
    <row r="628" spans="1:20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</row>
    <row r="629" spans="1:20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</row>
    <row r="630" spans="1:20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</row>
    <row r="631" spans="1:20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</row>
    <row r="632" spans="1:20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</row>
    <row r="633" spans="1:20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</row>
    <row r="634" spans="1:20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</row>
    <row r="635" spans="1:20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</row>
    <row r="636" spans="1:20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</row>
    <row r="637" spans="1:20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</row>
    <row r="638" spans="1:20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</row>
    <row r="639" spans="1:20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</row>
    <row r="640" spans="1:20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</row>
    <row r="641" spans="1:20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</row>
    <row r="642" spans="1:20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</row>
    <row r="643" spans="1:20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</row>
    <row r="644" spans="1:20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</row>
    <row r="645" spans="1:20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</row>
    <row r="646" spans="1:20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</row>
    <row r="647" spans="1:20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</row>
    <row r="648" spans="1:20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</row>
    <row r="649" spans="1:20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</row>
    <row r="650" spans="1:20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</row>
    <row r="651" spans="1:20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</row>
    <row r="652" spans="1:20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</row>
    <row r="653" spans="1:20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</row>
    <row r="654" spans="1:20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</row>
    <row r="655" spans="1:20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</row>
    <row r="656" spans="1:20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</row>
    <row r="657" spans="1:20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</row>
    <row r="658" spans="1:20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</row>
    <row r="659" spans="1:20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</row>
    <row r="660" spans="1:20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</row>
    <row r="661" spans="1:20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</row>
    <row r="662" spans="1:20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</row>
    <row r="663" spans="1:20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</row>
    <row r="664" spans="1:20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</row>
    <row r="665" spans="1:20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</row>
    <row r="666" spans="1:20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</row>
    <row r="667" spans="1:20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</row>
    <row r="668" spans="1:20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</row>
    <row r="669" spans="1:20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</row>
    <row r="670" spans="1:20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</row>
    <row r="671" spans="1:20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</row>
    <row r="672" spans="1:20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</row>
    <row r="673" spans="1:20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</row>
    <row r="674" spans="1:20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</row>
    <row r="675" spans="1:20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</row>
    <row r="676" spans="1:20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</row>
    <row r="677" spans="1:20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</row>
    <row r="678" spans="1:20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</row>
    <row r="679" spans="1:20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</row>
    <row r="680" spans="1:20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</row>
    <row r="681" spans="1:20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</row>
    <row r="682" spans="1:20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</row>
    <row r="683" spans="1:20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</row>
    <row r="684" spans="1:20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</row>
    <row r="685" spans="1:20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</row>
    <row r="686" spans="1:20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</row>
    <row r="687" spans="1:20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</row>
    <row r="688" spans="1:20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</row>
    <row r="689" spans="1:20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</row>
    <row r="690" spans="1:20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</row>
    <row r="691" spans="1:20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</row>
    <row r="692" spans="1:20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</row>
    <row r="693" spans="1:20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</row>
    <row r="694" spans="1:20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</row>
    <row r="695" spans="1:20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</row>
    <row r="696" spans="1:20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</row>
    <row r="697" spans="1:20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</row>
    <row r="698" spans="1:20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</row>
    <row r="699" spans="1:20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</row>
    <row r="700" spans="1:20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</row>
    <row r="701" spans="1:20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</row>
    <row r="702" spans="1:20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</row>
    <row r="703" spans="1:20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</row>
    <row r="704" spans="1:20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</row>
    <row r="705" spans="1:20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</row>
    <row r="706" spans="1:20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</row>
    <row r="707" spans="1:20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</row>
    <row r="708" spans="1:20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</row>
    <row r="709" spans="1:20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</row>
    <row r="710" spans="1:20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</row>
    <row r="711" spans="1:20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</row>
    <row r="712" spans="1:20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</row>
    <row r="713" spans="1:20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</row>
    <row r="714" spans="1:20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</row>
    <row r="715" spans="1:20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</row>
    <row r="716" spans="1:20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</row>
    <row r="717" spans="1:20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</row>
    <row r="718" spans="1:20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</row>
    <row r="719" spans="1:20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</row>
    <row r="720" spans="1:20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</row>
    <row r="721" spans="1:20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</row>
    <row r="722" spans="1:20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</row>
    <row r="723" spans="1:20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</row>
    <row r="724" spans="1:20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</row>
    <row r="725" spans="1:20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</row>
    <row r="726" spans="1:20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</row>
    <row r="727" spans="1:20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</row>
    <row r="728" spans="1:20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</row>
    <row r="729" spans="1:20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</row>
    <row r="730" spans="1:20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</row>
    <row r="731" spans="1:20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</row>
    <row r="732" spans="1:20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</row>
    <row r="733" spans="1:20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</row>
    <row r="734" spans="1:20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</row>
    <row r="735" spans="1:20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</row>
    <row r="736" spans="1:20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</row>
    <row r="737" spans="1:20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</row>
    <row r="738" spans="1:20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</row>
    <row r="739" spans="1:20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</row>
    <row r="740" spans="1:20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</row>
    <row r="741" spans="1:20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</row>
    <row r="742" spans="1:20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</row>
    <row r="743" spans="1:20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</row>
    <row r="744" spans="1:20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</row>
    <row r="745" spans="1:20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</row>
    <row r="746" spans="1:20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</row>
    <row r="747" spans="1:20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</row>
    <row r="748" spans="1:20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</row>
    <row r="749" spans="1:20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</row>
    <row r="750" spans="1:20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</row>
    <row r="751" spans="1:20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</row>
    <row r="752" spans="1:20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</row>
    <row r="753" spans="1:20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</row>
    <row r="754" spans="1:20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</row>
    <row r="755" spans="1:20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</row>
    <row r="756" spans="1:20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</row>
    <row r="757" spans="1:20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</row>
    <row r="758" spans="1:20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</row>
    <row r="759" spans="1:20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</row>
    <row r="760" spans="1:20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</row>
    <row r="761" spans="1:20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</row>
    <row r="762" spans="1:20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</row>
    <row r="763" spans="1:20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</row>
    <row r="764" spans="1:20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</row>
    <row r="765" spans="1:20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</row>
    <row r="766" spans="1:20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</row>
    <row r="767" spans="1:20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</row>
    <row r="768" spans="1:20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</row>
    <row r="769" spans="1:20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</row>
    <row r="770" spans="1:20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</row>
    <row r="771" spans="1:20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</row>
    <row r="772" spans="1:20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</row>
    <row r="773" spans="1:20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</row>
    <row r="774" spans="1:20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</row>
    <row r="775" spans="1:20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</row>
    <row r="776" spans="1:20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</row>
    <row r="777" spans="1:20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</row>
    <row r="778" spans="1:20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</row>
    <row r="779" spans="1:20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</row>
    <row r="780" spans="1:20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</row>
    <row r="781" spans="1:20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</row>
    <row r="782" spans="1:20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</row>
    <row r="783" spans="1:20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</row>
    <row r="784" spans="1:20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</row>
    <row r="785" spans="1:20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</row>
    <row r="786" spans="1:20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</row>
    <row r="787" spans="1:20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</row>
    <row r="788" spans="1:20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</row>
    <row r="789" spans="1:20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</row>
    <row r="790" spans="1:20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</row>
    <row r="791" spans="1:20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</row>
    <row r="792" spans="1:20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</row>
    <row r="793" spans="1:20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</row>
    <row r="794" spans="1:20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</row>
    <row r="795" spans="1:20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</row>
    <row r="796" spans="1:20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</row>
    <row r="797" spans="1:20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</row>
    <row r="798" spans="1:20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</row>
    <row r="799" spans="1:20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</row>
    <row r="800" spans="1:20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</row>
    <row r="801" spans="1:20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</row>
    <row r="802" spans="1:20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</row>
    <row r="803" spans="1:20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</row>
    <row r="804" spans="1:20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</row>
    <row r="805" spans="1:20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</row>
    <row r="806" spans="1:20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</row>
    <row r="807" spans="1:20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</row>
    <row r="808" spans="1:20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</row>
    <row r="809" spans="1:20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</row>
    <row r="810" spans="1:20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</row>
    <row r="811" spans="1:20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</row>
    <row r="812" spans="1:20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</row>
    <row r="813" spans="1:20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</row>
    <row r="814" spans="1:20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</row>
    <row r="815" spans="1:20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</row>
    <row r="816" spans="1:20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</row>
    <row r="817" spans="1:20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</row>
    <row r="818" spans="1:20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</row>
    <row r="819" spans="1:20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</row>
    <row r="820" spans="1:20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</row>
    <row r="821" spans="1:20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</row>
    <row r="822" spans="1:20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</row>
    <row r="823" spans="1:20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</row>
    <row r="824" spans="1:20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</row>
    <row r="825" spans="1:20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</row>
    <row r="826" spans="1:20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</row>
    <row r="827" spans="1:20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</row>
    <row r="828" spans="1:20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</row>
    <row r="829" spans="1:20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</row>
    <row r="830" spans="1:20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</row>
    <row r="831" spans="1:20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</row>
    <row r="832" spans="1:20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</row>
    <row r="833" spans="1:20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</row>
    <row r="834" spans="1:20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</row>
    <row r="835" spans="1:20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</row>
    <row r="836" spans="1:20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</row>
    <row r="837" spans="1:20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</row>
    <row r="838" spans="1:20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</row>
    <row r="839" spans="1:20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</row>
    <row r="840" spans="1:20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</row>
    <row r="841" spans="1:20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</row>
    <row r="842" spans="1:20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</row>
    <row r="843" spans="1:20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</row>
    <row r="844" spans="1:20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</row>
    <row r="845" spans="1:20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</row>
    <row r="846" spans="1:20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</row>
    <row r="847" spans="1:20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</row>
    <row r="848" spans="1:20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</row>
    <row r="849" spans="1:20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</row>
    <row r="850" spans="1:20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</row>
    <row r="851" spans="1:20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</row>
    <row r="852" spans="1:20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</row>
    <row r="853" spans="1:20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</row>
    <row r="854" spans="1:20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</row>
    <row r="855" spans="1:20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</row>
    <row r="856" spans="1:20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</row>
    <row r="857" spans="1:20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</row>
    <row r="858" spans="1:20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</row>
    <row r="859" spans="1:20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</row>
    <row r="860" spans="1:20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</row>
    <row r="861" spans="1:20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</row>
    <row r="862" spans="1:20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</row>
    <row r="863" spans="1:20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</row>
    <row r="864" spans="1:20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</row>
    <row r="865" spans="1:20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</row>
    <row r="866" spans="1:20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</row>
    <row r="867" spans="1:20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</row>
    <row r="868" spans="1:20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</row>
    <row r="869" spans="1:20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</row>
    <row r="870" spans="1:20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</row>
    <row r="871" spans="1:20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</row>
    <row r="872" spans="1:20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</row>
    <row r="873" spans="1:20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</row>
    <row r="874" spans="1:20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</row>
    <row r="875" spans="1:20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</row>
    <row r="876" spans="1:20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</row>
    <row r="877" spans="1:20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</row>
    <row r="878" spans="1:20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</row>
    <row r="879" spans="1:20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</row>
    <row r="880" spans="1:20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</row>
    <row r="881" spans="1:20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</row>
    <row r="882" spans="1:20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</row>
    <row r="883" spans="1:20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</row>
    <row r="884" spans="1:20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</row>
    <row r="885" spans="1:20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</row>
    <row r="886" spans="1:20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</row>
    <row r="887" spans="1:20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</row>
    <row r="888" spans="1:20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</row>
    <row r="889" spans="1:20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</row>
    <row r="890" spans="1:20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</row>
    <row r="891" spans="1:20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</row>
    <row r="892" spans="1:20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</row>
    <row r="893" spans="1:20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</row>
    <row r="894" spans="1:20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</row>
    <row r="895" spans="1:20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</row>
    <row r="896" spans="1:20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</row>
    <row r="897" spans="1:20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</row>
    <row r="898" spans="1:20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</row>
    <row r="899" spans="1:20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</row>
    <row r="900" spans="1:20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</row>
    <row r="901" spans="1:20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</row>
    <row r="902" spans="1:20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</row>
    <row r="903" spans="1:20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</row>
    <row r="904" spans="1:20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</row>
    <row r="905" spans="1:20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</row>
    <row r="906" spans="1:20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</row>
    <row r="907" spans="1:20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</row>
    <row r="908" spans="1:20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</row>
    <row r="909" spans="1:20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</row>
    <row r="910" spans="1:20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</row>
    <row r="911" spans="1:20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</row>
    <row r="912" spans="1:20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</row>
    <row r="913" spans="1:20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</row>
    <row r="914" spans="1:20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</row>
    <row r="915" spans="1:20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</row>
    <row r="916" spans="1:20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</row>
    <row r="917" spans="1:20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</row>
    <row r="918" spans="1:20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</row>
    <row r="919" spans="1:20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</row>
    <row r="920" spans="1:20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</row>
    <row r="921" spans="1:20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</row>
    <row r="922" spans="1:20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</row>
    <row r="923" spans="1:20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</row>
    <row r="924" spans="1:20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</row>
    <row r="925" spans="1:20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</row>
    <row r="926" spans="1:20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</row>
    <row r="927" spans="1:20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</row>
    <row r="928" spans="1:20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</row>
    <row r="929" spans="1:20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</row>
    <row r="930" spans="1:20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</row>
    <row r="931" spans="1:20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</row>
    <row r="932" spans="1:20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</row>
    <row r="933" spans="1:20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</row>
    <row r="934" spans="1:20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</row>
    <row r="935" spans="1:20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</row>
    <row r="936" spans="1:20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</row>
    <row r="937" spans="1:20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</row>
    <row r="938" spans="1:20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</row>
    <row r="939" spans="1:20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</row>
    <row r="940" spans="1:20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</row>
    <row r="941" spans="1:20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</row>
    <row r="942" spans="1:20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</row>
    <row r="943" spans="1:20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</row>
    <row r="944" spans="1:20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</row>
    <row r="945" spans="1:20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</row>
    <row r="946" spans="1:20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</row>
    <row r="947" spans="1:20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</row>
    <row r="948" spans="1:20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</row>
    <row r="949" spans="1:20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</row>
    <row r="950" spans="1:20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</row>
    <row r="951" spans="1:20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</row>
    <row r="952" spans="1:20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</row>
    <row r="953" spans="1:20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</row>
    <row r="954" spans="1:20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</row>
    <row r="955" spans="1:20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</row>
    <row r="956" spans="1:20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</row>
    <row r="957" spans="1:20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</row>
    <row r="958" spans="1:20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</row>
    <row r="959" spans="1:20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</row>
    <row r="960" spans="1:20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</row>
    <row r="961" spans="1:20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</row>
    <row r="962" spans="1:20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</row>
    <row r="963" spans="1:20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</row>
    <row r="964" spans="1:20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</row>
    <row r="965" spans="1:20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</row>
    <row r="966" spans="1:20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</row>
    <row r="967" spans="1:20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</row>
    <row r="968" spans="1:20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</row>
    <row r="969" spans="1:20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</row>
    <row r="970" spans="1:20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</row>
    <row r="971" spans="1:20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</row>
    <row r="972" spans="1:20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</row>
    <row r="973" spans="1:20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</row>
    <row r="974" spans="1:20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</row>
    <row r="975" spans="1:20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</row>
    <row r="976" spans="1:20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</row>
    <row r="977" spans="1:20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</row>
    <row r="978" spans="1:20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</row>
    <row r="979" spans="1:20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</row>
    <row r="980" spans="1:20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</row>
    <row r="981" spans="1:20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</row>
    <row r="982" spans="1:20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</row>
    <row r="983" spans="1:20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</row>
    <row r="984" spans="1:20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</row>
    <row r="985" spans="1:20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</row>
    <row r="986" spans="1:20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</row>
    <row r="987" spans="1:20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</row>
    <row r="988" spans="1:20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</row>
    <row r="989" spans="1:20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</row>
    <row r="990" spans="1:20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</row>
    <row r="991" spans="1:20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</row>
    <row r="992" spans="1:20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</row>
    <row r="993" spans="1:20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</row>
    <row r="994" spans="1:20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</row>
    <row r="995" spans="1:20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</row>
    <row r="996" spans="1:20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</row>
    <row r="997" spans="1:20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</row>
    <row r="998" spans="1:20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</row>
    <row r="999" spans="1:20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</row>
    <row r="1000" spans="1:20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T1000"/>
  <sheetViews>
    <sheetView workbookViewId="0"/>
  </sheetViews>
  <sheetFormatPr baseColWidth="10" defaultColWidth="11.1640625" defaultRowHeight="15" customHeight="1"/>
  <cols>
    <col min="1" max="1" width="39.6640625" customWidth="1"/>
  </cols>
  <sheetData>
    <row r="1" spans="1:20">
      <c r="A1" s="46" t="str">
        <f ca="1">IFERROR(__xludf.DUMMYFUNCTION("IMPORTRANGE(""https://docs.google.com/spreadsheets/d/1TmYEQeMzhvML_-KtL8YZJYP8jHrpYgyjF0MBmrMqL24/edit?gid=902977684#gid=902977684"",""02!A1:T"")"),"INDICADORES")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  <c r="T1" s="46"/>
    </row>
    <row r="2" spans="1:20">
      <c r="A2" s="46" t="str">
        <f ca="1">IFERROR(__xludf.DUMMYFUNCTION("""COMPUTED_VALUE"""),"PROGRAMAS IMPLEMENTADOS")</f>
        <v>PROGRAMAS IMPLEMENTADOS</v>
      </c>
      <c r="B2" s="46">
        <f ca="1">IFERROR(__xludf.DUMMYFUNCTION("""COMPUTED_VALUE"""),10)</f>
        <v>10</v>
      </c>
      <c r="C2" s="46" t="str">
        <f ca="1">IFERROR(__xludf.DUMMYFUNCTION("""COMPUTED_VALUE"""),"PROGRAMAS")</f>
        <v>PROGRAMAS</v>
      </c>
      <c r="D2" s="46" t="str">
        <f ca="1">IFERROR(__xludf.DUMMYFUNCTION("""COMPUTED_VALUE"""),"ASCENDENTE")</f>
        <v>ASCENDENTE</v>
      </c>
      <c r="E2" s="46" t="str">
        <f ca="1">IFERROR(__xludf.DUMMYFUNCTION("""COMPUTED_VALUE"""),"PROGRAMA OPERATIVO ANUAL")</f>
        <v>PROGRAMA OPERATIVO ANUAL</v>
      </c>
      <c r="F2" s="47">
        <f ca="1">IFERROR(__xludf.DUMMYFUNCTION("""COMPUTED_VALUE"""),0)</f>
        <v>0</v>
      </c>
      <c r="G2" s="46">
        <f ca="1">IFERROR(__xludf.DUMMYFUNCTION("""COMPUTED_VALUE"""),0)</f>
        <v>0</v>
      </c>
      <c r="H2" s="46">
        <f ca="1">IFERROR(__xludf.DUMMYFUNCTION("""COMPUTED_VALUE"""),0)</f>
        <v>0</v>
      </c>
      <c r="I2" s="46">
        <f ca="1">IFERROR(__xludf.DUMMYFUNCTION("""COMPUTED_VALUE"""),0)</f>
        <v>0</v>
      </c>
      <c r="J2" s="46">
        <f ca="1">IFERROR(__xludf.DUMMYFUNCTION("""COMPUTED_VALUE"""),0)</f>
        <v>0</v>
      </c>
      <c r="K2" s="46">
        <f ca="1">IFERROR(__xludf.DUMMYFUNCTION("""COMPUTED_VALUE"""),0)</f>
        <v>0</v>
      </c>
      <c r="L2" s="46">
        <f ca="1">IFERROR(__xludf.DUMMYFUNCTION("""COMPUTED_VALUE"""),0)</f>
        <v>0</v>
      </c>
      <c r="M2" s="46">
        <f ca="1">IFERROR(__xludf.DUMMYFUNCTION("""COMPUTED_VALUE"""),0)</f>
        <v>0</v>
      </c>
      <c r="N2" s="46">
        <f ca="1">IFERROR(__xludf.DUMMYFUNCTION("""COMPUTED_VALUE"""),0)</f>
        <v>0</v>
      </c>
      <c r="O2" s="46">
        <f ca="1">IFERROR(__xludf.DUMMYFUNCTION("""COMPUTED_VALUE"""),0)</f>
        <v>0</v>
      </c>
      <c r="P2" s="46">
        <f ca="1">IFERROR(__xludf.DUMMYFUNCTION("""COMPUTED_VALUE"""),0)</f>
        <v>0</v>
      </c>
      <c r="Q2" s="46">
        <f ca="1">IFERROR(__xludf.DUMMYFUNCTION("""COMPUTED_VALUE"""),0)</f>
        <v>0</v>
      </c>
      <c r="R2" s="46">
        <f ca="1">IFERROR(__xludf.DUMMYFUNCTION("""COMPUTED_VALUE"""),0)</f>
        <v>0</v>
      </c>
      <c r="S2" s="46">
        <f ca="1">IFERROR(__xludf.DUMMYFUNCTION("""COMPUTED_VALUE"""),0)</f>
        <v>0</v>
      </c>
      <c r="T2" s="46"/>
    </row>
    <row r="3" spans="1:20">
      <c r="A3" s="46" t="str">
        <f ca="1">IFERROR(__xludf.DUMMYFUNCTION("""COMPUTED_VALUE"""),"PERSONAS BENEFICIADAS")</f>
        <v>PERSONAS BENEFICIADAS</v>
      </c>
      <c r="B3" s="46">
        <f ca="1">IFERROR(__xludf.DUMMYFUNCTION("""COMPUTED_VALUE"""),780)</f>
        <v>780</v>
      </c>
      <c r="C3" s="46" t="str">
        <f ca="1">IFERROR(__xludf.DUMMYFUNCTION("""COMPUTED_VALUE"""),"NÚM. DE PERSONAS")</f>
        <v>NÚM. DE PERSONAS</v>
      </c>
      <c r="D3" s="46" t="str">
        <f ca="1">IFERROR(__xludf.DUMMYFUNCTION("""COMPUTED_VALUE"""),"ASCENDENTE")</f>
        <v>ASCENDENTE</v>
      </c>
      <c r="E3" s="46" t="str">
        <f ca="1">IFERROR(__xludf.DUMMYFUNCTION("""COMPUTED_VALUE"""),"PROGRAMA OPERATIVO ANUAL")</f>
        <v>PROGRAMA OPERATIVO ANUAL</v>
      </c>
      <c r="F3" s="47">
        <f ca="1">IFERROR(__xludf.DUMMYFUNCTION("""COMPUTED_VALUE"""),0)</f>
        <v>0</v>
      </c>
      <c r="G3" s="46">
        <f ca="1">IFERROR(__xludf.DUMMYFUNCTION("""COMPUTED_VALUE"""),0)</f>
        <v>0</v>
      </c>
      <c r="H3" s="46">
        <f ca="1">IFERROR(__xludf.DUMMYFUNCTION("""COMPUTED_VALUE"""),0)</f>
        <v>0</v>
      </c>
      <c r="I3" s="46">
        <f ca="1">IFERROR(__xludf.DUMMYFUNCTION("""COMPUTED_VALUE"""),0)</f>
        <v>0</v>
      </c>
      <c r="J3" s="46">
        <f ca="1">IFERROR(__xludf.DUMMYFUNCTION("""COMPUTED_VALUE"""),0)</f>
        <v>0</v>
      </c>
      <c r="K3" s="46">
        <f ca="1">IFERROR(__xludf.DUMMYFUNCTION("""COMPUTED_VALUE"""),0)</f>
        <v>0</v>
      </c>
      <c r="L3" s="46">
        <f ca="1">IFERROR(__xludf.DUMMYFUNCTION("""COMPUTED_VALUE"""),0)</f>
        <v>0</v>
      </c>
      <c r="M3" s="46">
        <f ca="1">IFERROR(__xludf.DUMMYFUNCTION("""COMPUTED_VALUE"""),0)</f>
        <v>0</v>
      </c>
      <c r="N3" s="46">
        <f ca="1">IFERROR(__xludf.DUMMYFUNCTION("""COMPUTED_VALUE"""),0)</f>
        <v>0</v>
      </c>
      <c r="O3" s="46">
        <f ca="1">IFERROR(__xludf.DUMMYFUNCTION("""COMPUTED_VALUE"""),0)</f>
        <v>0</v>
      </c>
      <c r="P3" s="46">
        <f ca="1">IFERROR(__xludf.DUMMYFUNCTION("""COMPUTED_VALUE"""),0)</f>
        <v>0</v>
      </c>
      <c r="Q3" s="46">
        <f ca="1">IFERROR(__xludf.DUMMYFUNCTION("""COMPUTED_VALUE"""),0)</f>
        <v>0</v>
      </c>
      <c r="R3" s="46">
        <f ca="1">IFERROR(__xludf.DUMMYFUNCTION("""COMPUTED_VALUE"""),0)</f>
        <v>0</v>
      </c>
      <c r="S3" s="46">
        <f ca="1">IFERROR(__xludf.DUMMYFUNCTION("""COMPUTED_VALUE"""),0)</f>
        <v>0</v>
      </c>
      <c r="T3" s="46"/>
    </row>
    <row r="4" spans="1:20">
      <c r="A4" s="46" t="str">
        <f ca="1">IFERROR(__xludf.DUMMYFUNCTION("""COMPUTED_VALUE"""),"NUMERO DE JUICIOS ATENDIDOS")</f>
        <v>NUMERO DE JUICIOS ATENDIDOS</v>
      </c>
      <c r="B4" s="46">
        <f ca="1">IFERROR(__xludf.DUMMYFUNCTION("""COMPUTED_VALUE"""),120)</f>
        <v>120</v>
      </c>
      <c r="C4" s="46" t="str">
        <f ca="1">IFERROR(__xludf.DUMMYFUNCTION("""COMPUTED_VALUE"""),"JUICIOS ATENDIDOS")</f>
        <v>JUICIOS ATENDIDOS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OPERATIVA")</f>
        <v>BITACORA OPERATIVA</v>
      </c>
      <c r="F4" s="47">
        <f ca="1">IFERROR(__xludf.DUMMYFUNCTION("""COMPUTED_VALUE"""),0)</f>
        <v>0</v>
      </c>
      <c r="G4" s="46">
        <f ca="1">IFERROR(__xludf.DUMMYFUNCTION("""COMPUTED_VALUE"""),0)</f>
        <v>0</v>
      </c>
      <c r="H4" s="46">
        <f ca="1">IFERROR(__xludf.DUMMYFUNCTION("""COMPUTED_VALUE"""),0)</f>
        <v>0</v>
      </c>
      <c r="I4" s="46">
        <f ca="1">IFERROR(__xludf.DUMMYFUNCTION("""COMPUTED_VALUE"""),0)</f>
        <v>0</v>
      </c>
      <c r="J4" s="46">
        <f ca="1">IFERROR(__xludf.DUMMYFUNCTION("""COMPUTED_VALUE"""),0)</f>
        <v>0</v>
      </c>
      <c r="K4" s="46">
        <f ca="1">IFERROR(__xludf.DUMMYFUNCTION("""COMPUTED_VALUE"""),0)</f>
        <v>0</v>
      </c>
      <c r="L4" s="46">
        <f ca="1">IFERROR(__xludf.DUMMYFUNCTION("""COMPUTED_VALUE"""),0)</f>
        <v>0</v>
      </c>
      <c r="M4" s="46">
        <f ca="1">IFERROR(__xludf.DUMMYFUNCTION("""COMPUTED_VALUE"""),0)</f>
        <v>0</v>
      </c>
      <c r="N4" s="46">
        <f ca="1">IFERROR(__xludf.DUMMYFUNCTION("""COMPUTED_VALUE"""),0)</f>
        <v>0</v>
      </c>
      <c r="O4" s="46">
        <f ca="1">IFERROR(__xludf.DUMMYFUNCTION("""COMPUTED_VALUE"""),0)</f>
        <v>0</v>
      </c>
      <c r="P4" s="46">
        <f ca="1">IFERROR(__xludf.DUMMYFUNCTION("""COMPUTED_VALUE"""),0)</f>
        <v>0</v>
      </c>
      <c r="Q4" s="46">
        <f ca="1">IFERROR(__xludf.DUMMYFUNCTION("""COMPUTED_VALUE"""),0)</f>
        <v>0</v>
      </c>
      <c r="R4" s="46">
        <f ca="1">IFERROR(__xludf.DUMMYFUNCTION("""COMPUTED_VALUE"""),0)</f>
        <v>0</v>
      </c>
      <c r="S4" s="46">
        <f ca="1">IFERROR(__xludf.DUMMYFUNCTION("""COMPUTED_VALUE"""),0)</f>
        <v>0</v>
      </c>
      <c r="T4" s="46"/>
    </row>
    <row r="5" spans="1:20">
      <c r="A5" s="46" t="str">
        <f ca="1">IFERROR(__xludf.DUMMYFUNCTION("""COMPUTED_VALUE"""),"NUMERO DE ASESORIAS JURIDICAS")</f>
        <v>NUMERO DE ASESORIAS JURIDICAS</v>
      </c>
      <c r="B5" s="46">
        <f ca="1">IFERROR(__xludf.DUMMYFUNCTION("""COMPUTED_VALUE"""),300)</f>
        <v>300</v>
      </c>
      <c r="C5" s="46" t="str">
        <f ca="1">IFERROR(__xludf.DUMMYFUNCTION("""COMPUTED_VALUE"""),"ASESORIAS ")</f>
        <v xml:space="preserve">ASESORIAS 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IFERROR(__xludf.DUMMYFUNCTION("""COMPUTED_VALUE"""),0)</f>
        <v>0</v>
      </c>
      <c r="G5" s="46">
        <f ca="1">IFERROR(__xludf.DUMMYFUNCTION("""COMPUTED_VALUE"""),0)</f>
        <v>0</v>
      </c>
      <c r="H5" s="46">
        <f ca="1">IFERROR(__xludf.DUMMYFUNCTION("""COMPUTED_VALUE"""),0)</f>
        <v>0</v>
      </c>
      <c r="I5" s="46">
        <f ca="1">IFERROR(__xludf.DUMMYFUNCTION("""COMPUTED_VALUE"""),0)</f>
        <v>0</v>
      </c>
      <c r="J5" s="46">
        <f ca="1">IFERROR(__xludf.DUMMYFUNCTION("""COMPUTED_VALUE"""),0)</f>
        <v>0</v>
      </c>
      <c r="K5" s="46">
        <f ca="1">IFERROR(__xludf.DUMMYFUNCTION("""COMPUTED_VALUE"""),0)</f>
        <v>0</v>
      </c>
      <c r="L5" s="46">
        <f ca="1">IFERROR(__xludf.DUMMYFUNCTION("""COMPUTED_VALUE"""),0)</f>
        <v>0</v>
      </c>
      <c r="M5" s="46">
        <f ca="1">IFERROR(__xludf.DUMMYFUNCTION("""COMPUTED_VALUE"""),0)</f>
        <v>0</v>
      </c>
      <c r="N5" s="46">
        <f ca="1">IFERROR(__xludf.DUMMYFUNCTION("""COMPUTED_VALUE"""),0)</f>
        <v>0</v>
      </c>
      <c r="O5" s="46">
        <f ca="1">IFERROR(__xludf.DUMMYFUNCTION("""COMPUTED_VALUE"""),0)</f>
        <v>0</v>
      </c>
      <c r="P5" s="46">
        <f ca="1">IFERROR(__xludf.DUMMYFUNCTION("""COMPUTED_VALUE"""),0)</f>
        <v>0</v>
      </c>
      <c r="Q5" s="46">
        <f ca="1">IFERROR(__xludf.DUMMYFUNCTION("""COMPUTED_VALUE"""),0)</f>
        <v>0</v>
      </c>
      <c r="R5" s="46">
        <f ca="1">IFERROR(__xludf.DUMMYFUNCTION("""COMPUTED_VALUE"""),0)</f>
        <v>0</v>
      </c>
      <c r="S5" s="46">
        <f ca="1">IFERROR(__xludf.DUMMYFUNCTION("""COMPUTED_VALUE"""),0)</f>
        <v>0</v>
      </c>
      <c r="T5" s="46"/>
    </row>
    <row r="6" spans="1:20">
      <c r="A6" s="46" t="str">
        <f ca="1">IFERROR(__xludf.DUMMYFUNCTION("""COMPUTED_VALUE"""),"PERSONAS BENEFICIADAS SIPPINA")</f>
        <v>PERSONAS BENEFICIADAS SIPPINA</v>
      </c>
      <c r="B6" s="46">
        <f ca="1">IFERROR(__xludf.DUMMYFUNCTION("""COMPUTED_VALUE"""),50)</f>
        <v>50</v>
      </c>
      <c r="C6" s="46" t="str">
        <f ca="1">IFERROR(__xludf.DUMMYFUNCTION("""COMPUTED_VALUE"""),"NÚM. DE PERSONAS")</f>
        <v>NÚM. DE PERSONAS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IFERROR(__xludf.DUMMYFUNCTION("""COMPUTED_VALUE"""),0)</f>
        <v>0</v>
      </c>
      <c r="G6" s="46">
        <f ca="1">IFERROR(__xludf.DUMMYFUNCTION("""COMPUTED_VALUE"""),0)</f>
        <v>0</v>
      </c>
      <c r="H6" s="46">
        <f ca="1">IFERROR(__xludf.DUMMYFUNCTION("""COMPUTED_VALUE"""),0)</f>
        <v>0</v>
      </c>
      <c r="I6" s="46">
        <f ca="1">IFERROR(__xludf.DUMMYFUNCTION("""COMPUTED_VALUE"""),0)</f>
        <v>0</v>
      </c>
      <c r="J6" s="46">
        <f ca="1">IFERROR(__xludf.DUMMYFUNCTION("""COMPUTED_VALUE"""),0)</f>
        <v>0</v>
      </c>
      <c r="K6" s="46">
        <f ca="1">IFERROR(__xludf.DUMMYFUNCTION("""COMPUTED_VALUE"""),0)</f>
        <v>0</v>
      </c>
      <c r="L6" s="46">
        <f ca="1">IFERROR(__xludf.DUMMYFUNCTION("""COMPUTED_VALUE"""),0)</f>
        <v>0</v>
      </c>
      <c r="M6" s="46">
        <f ca="1">IFERROR(__xludf.DUMMYFUNCTION("""COMPUTED_VALUE"""),0)</f>
        <v>0</v>
      </c>
      <c r="N6" s="46">
        <f ca="1">IFERROR(__xludf.DUMMYFUNCTION("""COMPUTED_VALUE"""),0)</f>
        <v>0</v>
      </c>
      <c r="O6" s="46">
        <f ca="1">IFERROR(__xludf.DUMMYFUNCTION("""COMPUTED_VALUE"""),0)</f>
        <v>0</v>
      </c>
      <c r="P6" s="46">
        <f ca="1">IFERROR(__xludf.DUMMYFUNCTION("""COMPUTED_VALUE"""),0)</f>
        <v>0</v>
      </c>
      <c r="Q6" s="46">
        <f ca="1">IFERROR(__xludf.DUMMYFUNCTION("""COMPUTED_VALUE"""),0)</f>
        <v>0</v>
      </c>
      <c r="R6" s="46">
        <f ca="1">IFERROR(__xludf.DUMMYFUNCTION("""COMPUTED_VALUE"""),0)</f>
        <v>0</v>
      </c>
      <c r="S6" s="46">
        <f ca="1">IFERROR(__xludf.DUMMYFUNCTION("""COMPUTED_VALUE"""),0)</f>
        <v>0</v>
      </c>
      <c r="T6" s="46"/>
    </row>
    <row r="7" spans="1:20">
      <c r="A7" s="46" t="str">
        <f ca="1">IFERROR(__xludf.DUMMYFUNCTION("""COMPUTED_VALUE"""),"AUTOS PUESTOS A DISPOCISION")</f>
        <v>AUTOS PUESTOS A DISPOCISION</v>
      </c>
      <c r="B7" s="46">
        <f ca="1">IFERROR(__xludf.DUMMYFUNCTION("""COMPUTED_VALUE"""),35)</f>
        <v>35</v>
      </c>
      <c r="C7" s="46" t="str">
        <f ca="1">IFERROR(__xludf.DUMMYFUNCTION("""COMPUTED_VALUE"""),"AUTOS")</f>
        <v>AUTOS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IFERROR(__xludf.DUMMYFUNCTION("""COMPUTED_VALUE"""),0)</f>
        <v>0</v>
      </c>
      <c r="G7" s="46">
        <f ca="1">IFERROR(__xludf.DUMMYFUNCTION("""COMPUTED_VALUE"""),0)</f>
        <v>0</v>
      </c>
      <c r="H7" s="46">
        <f ca="1">IFERROR(__xludf.DUMMYFUNCTION("""COMPUTED_VALUE"""),0)</f>
        <v>0</v>
      </c>
      <c r="I7" s="46">
        <f ca="1">IFERROR(__xludf.DUMMYFUNCTION("""COMPUTED_VALUE"""),0)</f>
        <v>0</v>
      </c>
      <c r="J7" s="46">
        <f ca="1">IFERROR(__xludf.DUMMYFUNCTION("""COMPUTED_VALUE"""),0)</f>
        <v>0</v>
      </c>
      <c r="K7" s="46">
        <f ca="1">IFERROR(__xludf.DUMMYFUNCTION("""COMPUTED_VALUE"""),0)</f>
        <v>0</v>
      </c>
      <c r="L7" s="46">
        <f ca="1">IFERROR(__xludf.DUMMYFUNCTION("""COMPUTED_VALUE"""),0)</f>
        <v>0</v>
      </c>
      <c r="M7" s="46">
        <f ca="1">IFERROR(__xludf.DUMMYFUNCTION("""COMPUTED_VALUE"""),0)</f>
        <v>0</v>
      </c>
      <c r="N7" s="46">
        <f ca="1">IFERROR(__xludf.DUMMYFUNCTION("""COMPUTED_VALUE"""),0)</f>
        <v>0</v>
      </c>
      <c r="O7" s="46">
        <f ca="1">IFERROR(__xludf.DUMMYFUNCTION("""COMPUTED_VALUE"""),0)</f>
        <v>0</v>
      </c>
      <c r="P7" s="46">
        <f ca="1">IFERROR(__xludf.DUMMYFUNCTION("""COMPUTED_VALUE"""),0)</f>
        <v>0</v>
      </c>
      <c r="Q7" s="46">
        <f ca="1">IFERROR(__xludf.DUMMYFUNCTION("""COMPUTED_VALUE"""),0)</f>
        <v>0</v>
      </c>
      <c r="R7" s="46">
        <f ca="1">IFERROR(__xludf.DUMMYFUNCTION("""COMPUTED_VALUE"""),0)</f>
        <v>0</v>
      </c>
      <c r="S7" s="46">
        <f ca="1">IFERROR(__xludf.DUMMYFUNCTION("""COMPUTED_VALUE"""),0)</f>
        <v>0</v>
      </c>
      <c r="T7" s="46"/>
    </row>
    <row r="8" spans="1:20">
      <c r="A8" s="46" t="str">
        <f ca="1">IFERROR(__xludf.DUMMYFUNCTION("""COMPUTED_VALUE"""),"MOTOS PUESTAS A DISPOSICION")</f>
        <v>MOTOS PUESTAS A DISPOSICION</v>
      </c>
      <c r="B8" s="46">
        <f ca="1">IFERROR(__xludf.DUMMYFUNCTION("""COMPUTED_VALUE"""),40)</f>
        <v>40</v>
      </c>
      <c r="C8" s="46" t="str">
        <f ca="1">IFERROR(__xludf.DUMMYFUNCTION("""COMPUTED_VALUE"""),"MOTOCICLETAS")</f>
        <v>MOTOCICLETAS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6">
        <f ca="1">IFERROR(__xludf.DUMMYFUNCTION("""COMPUTED_VALUE"""),0)</f>
        <v>0</v>
      </c>
      <c r="H8" s="46">
        <f ca="1">IFERROR(__xludf.DUMMYFUNCTION("""COMPUTED_VALUE"""),0)</f>
        <v>0</v>
      </c>
      <c r="I8" s="46">
        <f ca="1">IFERROR(__xludf.DUMMYFUNCTION("""COMPUTED_VALUE"""),0)</f>
        <v>0</v>
      </c>
      <c r="J8" s="46">
        <f ca="1">IFERROR(__xludf.DUMMYFUNCTION("""COMPUTED_VALUE"""),0)</f>
        <v>0</v>
      </c>
      <c r="K8" s="46">
        <f ca="1">IFERROR(__xludf.DUMMYFUNCTION("""COMPUTED_VALUE"""),0)</f>
        <v>0</v>
      </c>
      <c r="L8" s="46">
        <f ca="1">IFERROR(__xludf.DUMMYFUNCTION("""COMPUTED_VALUE"""),0)</f>
        <v>0</v>
      </c>
      <c r="M8" s="46">
        <f ca="1">IFERROR(__xludf.DUMMYFUNCTION("""COMPUTED_VALUE"""),0)</f>
        <v>0</v>
      </c>
      <c r="N8" s="46">
        <f ca="1">IFERROR(__xludf.DUMMYFUNCTION("""COMPUTED_VALUE"""),0)</f>
        <v>0</v>
      </c>
      <c r="O8" s="46">
        <f ca="1">IFERROR(__xludf.DUMMYFUNCTION("""COMPUTED_VALUE"""),0)</f>
        <v>0</v>
      </c>
      <c r="P8" s="46">
        <f ca="1">IFERROR(__xludf.DUMMYFUNCTION("""COMPUTED_VALUE"""),0)</f>
        <v>0</v>
      </c>
      <c r="Q8" s="46">
        <f ca="1">IFERROR(__xludf.DUMMYFUNCTION("""COMPUTED_VALUE"""),0)</f>
        <v>0</v>
      </c>
      <c r="R8" s="46">
        <f ca="1">IFERROR(__xludf.DUMMYFUNCTION("""COMPUTED_VALUE"""),0)</f>
        <v>0</v>
      </c>
      <c r="S8" s="46">
        <f ca="1">IFERROR(__xludf.DUMMYFUNCTION("""COMPUTED_VALUE"""),0)</f>
        <v>0</v>
      </c>
      <c r="T8" s="46"/>
    </row>
    <row r="9" spans="1:20">
      <c r="A9" s="46" t="str">
        <f ca="1">IFERROR(__xludf.DUMMYFUNCTION("""COMPUTED_VALUE"""),"PERSONAS DETENIDAS POR FALTAS ADMINISTRATIVAS")</f>
        <v>PERSONAS DETENIDAS POR FALTAS ADMINISTRATIVAS</v>
      </c>
      <c r="B9" s="46">
        <f ca="1">IFERROR(__xludf.DUMMYFUNCTION("""COMPUTED_VALUE"""),120)</f>
        <v>120</v>
      </c>
      <c r="C9" s="46" t="str">
        <f ca="1">IFERROR(__xludf.DUMMYFUNCTION("""COMPUTED_VALUE"""),"NÚM. DE PERSONAS")</f>
        <v>NÚM. DE PERSONAS</v>
      </c>
      <c r="D9" s="46" t="str">
        <f ca="1">IFERROR(__xludf.DUMMYFUNCTION("""COMPUTED_VALUE"""),"DESCENDENTE")</f>
        <v>DESCENDENTE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IFERROR(__xludf.DUMMYFUNCTION("""COMPUTED_VALUE"""),0)</f>
        <v>0</v>
      </c>
      <c r="G9" s="46">
        <f ca="1">IFERROR(__xludf.DUMMYFUNCTION("""COMPUTED_VALUE"""),0)</f>
        <v>0</v>
      </c>
      <c r="H9" s="46">
        <f ca="1">IFERROR(__xludf.DUMMYFUNCTION("""COMPUTED_VALUE"""),0)</f>
        <v>0</v>
      </c>
      <c r="I9" s="46">
        <f ca="1">IFERROR(__xludf.DUMMYFUNCTION("""COMPUTED_VALUE"""),0)</f>
        <v>0</v>
      </c>
      <c r="J9" s="46">
        <f ca="1">IFERROR(__xludf.DUMMYFUNCTION("""COMPUTED_VALUE"""),0)</f>
        <v>0</v>
      </c>
      <c r="K9" s="46">
        <f ca="1">IFERROR(__xludf.DUMMYFUNCTION("""COMPUTED_VALUE"""),0)</f>
        <v>0</v>
      </c>
      <c r="L9" s="46">
        <f ca="1">IFERROR(__xludf.DUMMYFUNCTION("""COMPUTED_VALUE"""),0)</f>
        <v>0</v>
      </c>
      <c r="M9" s="46">
        <f ca="1">IFERROR(__xludf.DUMMYFUNCTION("""COMPUTED_VALUE"""),0)</f>
        <v>0</v>
      </c>
      <c r="N9" s="46">
        <f ca="1">IFERROR(__xludf.DUMMYFUNCTION("""COMPUTED_VALUE"""),0)</f>
        <v>0</v>
      </c>
      <c r="O9" s="46">
        <f ca="1">IFERROR(__xludf.DUMMYFUNCTION("""COMPUTED_VALUE"""),0)</f>
        <v>0</v>
      </c>
      <c r="P9" s="46">
        <f ca="1">IFERROR(__xludf.DUMMYFUNCTION("""COMPUTED_VALUE"""),0)</f>
        <v>0</v>
      </c>
      <c r="Q9" s="46">
        <f ca="1">IFERROR(__xludf.DUMMYFUNCTION("""COMPUTED_VALUE"""),0)</f>
        <v>0</v>
      </c>
      <c r="R9" s="46">
        <f ca="1">IFERROR(__xludf.DUMMYFUNCTION("""COMPUTED_VALUE"""),0)</f>
        <v>0</v>
      </c>
      <c r="S9" s="46">
        <f ca="1">IFERROR(__xludf.DUMMYFUNCTION("""COMPUTED_VALUE"""),0)</f>
        <v>0</v>
      </c>
      <c r="T9" s="46"/>
    </row>
    <row r="10" spans="1:20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</row>
    <row r="11" spans="1:20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0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0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0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0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0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0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0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0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0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0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0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0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</row>
    <row r="41" spans="1:20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</row>
    <row r="42" spans="1:20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</row>
    <row r="43" spans="1:20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</row>
    <row r="44" spans="1:20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</row>
    <row r="45" spans="1:20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</row>
    <row r="46" spans="1:20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</row>
    <row r="47" spans="1:20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</row>
    <row r="48" spans="1:20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</row>
    <row r="49" spans="1:20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</row>
    <row r="50" spans="1:20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</row>
    <row r="51" spans="1:20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</row>
    <row r="52" spans="1:20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</row>
    <row r="53" spans="1:20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</row>
    <row r="54" spans="1:20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</row>
    <row r="55" spans="1:20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</row>
    <row r="56" spans="1:20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</row>
    <row r="57" spans="1:20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</row>
    <row r="58" spans="1:20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</row>
    <row r="59" spans="1:20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</row>
    <row r="60" spans="1:20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</row>
    <row r="61" spans="1:20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</row>
    <row r="62" spans="1:20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</row>
    <row r="63" spans="1:20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0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</row>
    <row r="67" spans="1:20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</row>
    <row r="68" spans="1:20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</row>
    <row r="69" spans="1:20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</row>
    <row r="70" spans="1:20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</row>
    <row r="71" spans="1:20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</row>
    <row r="72" spans="1:20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</row>
    <row r="73" spans="1:20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</row>
    <row r="74" spans="1:20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</row>
    <row r="75" spans="1:20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</row>
    <row r="76" spans="1:20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</row>
    <row r="77" spans="1:20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</row>
    <row r="78" spans="1:20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</row>
    <row r="79" spans="1:20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</row>
    <row r="80" spans="1:20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</row>
    <row r="81" spans="1:20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</row>
    <row r="82" spans="1:20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</row>
    <row r="83" spans="1:20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</row>
    <row r="84" spans="1:20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</row>
    <row r="85" spans="1:20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</row>
    <row r="86" spans="1:20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</row>
    <row r="87" spans="1:20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</row>
    <row r="88" spans="1:20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</row>
    <row r="89" spans="1:20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</row>
    <row r="90" spans="1:20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</row>
    <row r="91" spans="1:20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</row>
    <row r="92" spans="1:20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</row>
    <row r="93" spans="1:20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</row>
    <row r="94" spans="1:20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</row>
    <row r="95" spans="1:20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</row>
    <row r="96" spans="1:20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</row>
    <row r="97" spans="1:20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</row>
    <row r="98" spans="1:20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</row>
    <row r="99" spans="1:20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</row>
    <row r="100" spans="1:20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</row>
    <row r="101" spans="1:20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</row>
    <row r="102" spans="1:20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</row>
    <row r="103" spans="1:20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</row>
    <row r="104" spans="1:20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</row>
    <row r="105" spans="1:20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</row>
    <row r="106" spans="1:20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</row>
    <row r="107" spans="1:20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</row>
    <row r="108" spans="1:20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</row>
    <row r="109" spans="1:20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</row>
    <row r="110" spans="1:20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</row>
    <row r="111" spans="1:20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</row>
    <row r="112" spans="1:20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</row>
    <row r="113" spans="1:20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</row>
    <row r="114" spans="1:20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</row>
    <row r="115" spans="1:20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</row>
    <row r="116" spans="1:20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</row>
    <row r="117" spans="1:20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</row>
    <row r="118" spans="1:20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</row>
    <row r="119" spans="1:20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</row>
    <row r="120" spans="1:20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</row>
    <row r="121" spans="1:20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</row>
    <row r="122" spans="1:20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</row>
    <row r="123" spans="1:20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</row>
    <row r="124" spans="1:20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</row>
    <row r="125" spans="1:20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</row>
    <row r="126" spans="1:20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</row>
    <row r="127" spans="1:20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</row>
    <row r="128" spans="1:20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</row>
    <row r="129" spans="1:20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</row>
    <row r="130" spans="1:20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</row>
    <row r="131" spans="1:20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</row>
    <row r="132" spans="1:20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</row>
    <row r="133" spans="1:20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</row>
    <row r="134" spans="1:20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</row>
    <row r="135" spans="1:20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</row>
    <row r="136" spans="1:20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</row>
    <row r="137" spans="1:20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</row>
    <row r="138" spans="1:20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</row>
    <row r="139" spans="1:20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</row>
    <row r="140" spans="1:20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</row>
    <row r="141" spans="1:20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</row>
    <row r="142" spans="1:20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</row>
    <row r="143" spans="1:20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</row>
    <row r="144" spans="1:20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</row>
    <row r="145" spans="1:20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</row>
    <row r="146" spans="1:20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</row>
    <row r="147" spans="1:20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</row>
    <row r="148" spans="1:20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</row>
    <row r="149" spans="1:20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</row>
    <row r="150" spans="1:20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</row>
    <row r="151" spans="1:20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</row>
    <row r="152" spans="1:20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</row>
    <row r="153" spans="1:20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</row>
    <row r="154" spans="1:20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</row>
    <row r="155" spans="1:20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</row>
    <row r="156" spans="1:20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</row>
    <row r="157" spans="1:20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</row>
    <row r="158" spans="1:20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</row>
    <row r="159" spans="1:20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</row>
    <row r="160" spans="1:20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</row>
    <row r="161" spans="1:20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</row>
    <row r="162" spans="1:20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</row>
    <row r="163" spans="1:20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</row>
    <row r="164" spans="1:20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</row>
    <row r="165" spans="1:20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</row>
    <row r="166" spans="1:20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</row>
    <row r="167" spans="1:20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</row>
    <row r="168" spans="1:20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</row>
    <row r="169" spans="1:20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</row>
    <row r="170" spans="1:20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</row>
    <row r="171" spans="1:20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</row>
    <row r="172" spans="1:20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</row>
    <row r="173" spans="1:20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</row>
    <row r="174" spans="1:20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</row>
    <row r="175" spans="1:20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</row>
    <row r="176" spans="1:20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</row>
    <row r="177" spans="1:20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</row>
    <row r="178" spans="1:20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</row>
    <row r="179" spans="1:20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</row>
    <row r="180" spans="1:20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</row>
    <row r="181" spans="1:20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</row>
    <row r="182" spans="1:20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</row>
    <row r="183" spans="1:20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</row>
    <row r="184" spans="1:20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</row>
    <row r="185" spans="1:20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</row>
    <row r="186" spans="1:20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</row>
    <row r="187" spans="1:20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</row>
    <row r="188" spans="1:20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</row>
    <row r="189" spans="1:20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</row>
    <row r="190" spans="1:20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</row>
    <row r="191" spans="1:20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</row>
    <row r="192" spans="1:20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</row>
    <row r="193" spans="1:20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</row>
    <row r="194" spans="1:20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</row>
    <row r="195" spans="1:20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</row>
    <row r="196" spans="1:20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</row>
    <row r="197" spans="1:20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</row>
    <row r="198" spans="1:20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</row>
    <row r="199" spans="1:20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</row>
    <row r="200" spans="1:20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</row>
    <row r="201" spans="1:20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</row>
    <row r="202" spans="1:20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</row>
    <row r="203" spans="1:20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</row>
    <row r="204" spans="1:20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</row>
    <row r="205" spans="1:20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</row>
    <row r="206" spans="1:20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</row>
    <row r="207" spans="1:20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</row>
    <row r="208" spans="1:20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</row>
    <row r="209" spans="1:20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</row>
    <row r="210" spans="1:20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</row>
    <row r="211" spans="1:20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</row>
    <row r="212" spans="1:20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</row>
    <row r="213" spans="1:20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</row>
    <row r="214" spans="1:20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</row>
    <row r="215" spans="1:20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</row>
    <row r="216" spans="1:20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</row>
    <row r="217" spans="1:20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</row>
    <row r="218" spans="1:20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</row>
    <row r="219" spans="1:20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</row>
    <row r="220" spans="1:20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</row>
    <row r="221" spans="1:20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</row>
    <row r="222" spans="1:20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</row>
    <row r="223" spans="1:20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</row>
    <row r="224" spans="1:20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</row>
    <row r="225" spans="1:20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</row>
    <row r="226" spans="1:20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</row>
    <row r="227" spans="1:20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</row>
    <row r="228" spans="1:20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</row>
    <row r="229" spans="1:20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</row>
    <row r="230" spans="1:20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</row>
    <row r="231" spans="1:20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</row>
    <row r="232" spans="1:20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</row>
    <row r="233" spans="1:20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</row>
    <row r="234" spans="1:20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</row>
    <row r="235" spans="1:20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</row>
    <row r="236" spans="1:20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</row>
    <row r="237" spans="1:20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</row>
    <row r="238" spans="1:20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</row>
    <row r="239" spans="1:20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</row>
    <row r="240" spans="1:20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</row>
    <row r="241" spans="1:20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</row>
    <row r="242" spans="1:20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</row>
    <row r="243" spans="1:20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</row>
    <row r="244" spans="1:20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</row>
    <row r="245" spans="1:20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</row>
    <row r="246" spans="1:20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</row>
    <row r="247" spans="1:20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</row>
    <row r="248" spans="1:20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</row>
    <row r="249" spans="1:20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</row>
    <row r="250" spans="1:20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</row>
    <row r="251" spans="1:20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</row>
    <row r="252" spans="1:20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</row>
    <row r="253" spans="1:20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</row>
    <row r="254" spans="1:20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</row>
    <row r="255" spans="1:20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</row>
    <row r="256" spans="1:20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</row>
    <row r="257" spans="1:20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</row>
    <row r="258" spans="1:20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</row>
    <row r="259" spans="1:20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</row>
    <row r="260" spans="1:20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</row>
    <row r="261" spans="1:20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</row>
    <row r="262" spans="1:20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</row>
    <row r="263" spans="1:20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</row>
    <row r="264" spans="1:20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</row>
    <row r="265" spans="1:20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</row>
    <row r="266" spans="1:20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</row>
    <row r="267" spans="1:20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</row>
    <row r="268" spans="1:20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</row>
    <row r="269" spans="1:20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</row>
    <row r="270" spans="1:20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</row>
    <row r="271" spans="1:20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</row>
    <row r="272" spans="1:20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</row>
    <row r="273" spans="1:20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</row>
    <row r="274" spans="1:20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</row>
    <row r="275" spans="1:20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</row>
    <row r="276" spans="1:20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</row>
    <row r="277" spans="1:20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</row>
    <row r="278" spans="1:20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</row>
    <row r="279" spans="1:20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</row>
    <row r="280" spans="1:20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</row>
    <row r="281" spans="1:20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</row>
    <row r="282" spans="1:20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</row>
    <row r="283" spans="1:20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</row>
    <row r="284" spans="1:20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</row>
    <row r="285" spans="1:20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</row>
    <row r="286" spans="1:20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</row>
    <row r="287" spans="1:20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</row>
    <row r="288" spans="1:20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</row>
    <row r="289" spans="1:20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</row>
    <row r="290" spans="1:20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</row>
    <row r="291" spans="1:20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</row>
    <row r="292" spans="1:20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</row>
    <row r="293" spans="1:20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</row>
    <row r="294" spans="1:20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</row>
    <row r="295" spans="1:20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</row>
    <row r="296" spans="1:20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</row>
    <row r="297" spans="1:20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</row>
    <row r="298" spans="1:20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</row>
    <row r="299" spans="1:20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</row>
    <row r="300" spans="1:20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</row>
    <row r="301" spans="1:20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</row>
    <row r="302" spans="1:20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</row>
    <row r="303" spans="1:20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</row>
    <row r="304" spans="1:20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</row>
    <row r="305" spans="1:20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</row>
    <row r="306" spans="1:20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</row>
    <row r="307" spans="1:20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</row>
    <row r="308" spans="1:20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</row>
    <row r="309" spans="1:20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</row>
    <row r="310" spans="1:20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</row>
    <row r="311" spans="1:20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</row>
    <row r="312" spans="1:20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</row>
    <row r="313" spans="1:20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</row>
    <row r="314" spans="1:20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</row>
    <row r="315" spans="1:20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</row>
    <row r="316" spans="1:20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</row>
    <row r="317" spans="1:20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</row>
    <row r="318" spans="1:20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</row>
    <row r="319" spans="1:20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</row>
    <row r="320" spans="1:20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</row>
    <row r="321" spans="1:20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</row>
    <row r="322" spans="1:20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</row>
    <row r="323" spans="1:20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</row>
    <row r="324" spans="1:20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</row>
    <row r="325" spans="1:20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</row>
    <row r="326" spans="1:20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</row>
    <row r="327" spans="1:20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</row>
    <row r="328" spans="1:20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</row>
    <row r="329" spans="1:20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</row>
    <row r="330" spans="1:20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</row>
    <row r="331" spans="1:20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</row>
    <row r="332" spans="1:20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</row>
    <row r="333" spans="1:20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</row>
    <row r="334" spans="1:20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</row>
    <row r="335" spans="1:20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</row>
    <row r="336" spans="1:20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</row>
    <row r="337" spans="1:20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</row>
    <row r="338" spans="1:20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</row>
    <row r="339" spans="1:20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</row>
    <row r="340" spans="1:20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</row>
    <row r="341" spans="1:20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</row>
    <row r="342" spans="1:20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</row>
    <row r="343" spans="1:20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</row>
    <row r="344" spans="1:20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</row>
    <row r="345" spans="1:20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</row>
    <row r="346" spans="1:20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</row>
    <row r="347" spans="1:20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</row>
    <row r="348" spans="1:20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</row>
    <row r="349" spans="1:20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</row>
    <row r="350" spans="1:20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</row>
    <row r="351" spans="1:20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</row>
    <row r="352" spans="1:20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</row>
    <row r="353" spans="1:20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</row>
    <row r="354" spans="1:20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</row>
    <row r="355" spans="1:20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</row>
    <row r="356" spans="1:20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</row>
    <row r="357" spans="1:20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</row>
    <row r="358" spans="1:20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</row>
    <row r="359" spans="1:20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</row>
    <row r="360" spans="1:20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</row>
    <row r="361" spans="1:20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</row>
    <row r="362" spans="1:20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</row>
    <row r="363" spans="1:20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</row>
    <row r="364" spans="1:20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</row>
    <row r="365" spans="1:20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</row>
    <row r="366" spans="1:20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</row>
    <row r="367" spans="1:20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</row>
    <row r="368" spans="1:20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</row>
    <row r="369" spans="1:20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</row>
    <row r="370" spans="1:20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</row>
    <row r="371" spans="1:20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</row>
    <row r="372" spans="1:20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</row>
    <row r="373" spans="1:20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</row>
    <row r="374" spans="1:20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</row>
    <row r="375" spans="1:20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</row>
    <row r="376" spans="1:20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</row>
    <row r="377" spans="1:20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</row>
    <row r="378" spans="1:20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</row>
    <row r="379" spans="1:20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</row>
    <row r="380" spans="1:20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</row>
    <row r="381" spans="1:20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</row>
    <row r="382" spans="1:20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</row>
    <row r="383" spans="1:20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</row>
    <row r="384" spans="1:20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</row>
    <row r="385" spans="1:20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</row>
    <row r="386" spans="1:20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</row>
    <row r="387" spans="1:20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</row>
    <row r="388" spans="1:20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</row>
    <row r="389" spans="1:20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</row>
    <row r="390" spans="1:20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</row>
    <row r="391" spans="1:20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</row>
    <row r="392" spans="1:20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</row>
    <row r="393" spans="1:20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</row>
    <row r="394" spans="1:20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</row>
    <row r="395" spans="1:20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</row>
    <row r="396" spans="1:20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</row>
    <row r="397" spans="1:20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</row>
    <row r="398" spans="1:20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</row>
    <row r="399" spans="1:20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</row>
    <row r="400" spans="1:20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</row>
    <row r="401" spans="1:20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</row>
    <row r="402" spans="1:20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</row>
    <row r="403" spans="1:20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</row>
    <row r="404" spans="1:20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</row>
    <row r="405" spans="1:20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</row>
    <row r="406" spans="1:20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</row>
    <row r="407" spans="1:20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</row>
    <row r="408" spans="1:20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</row>
    <row r="409" spans="1:20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</row>
    <row r="410" spans="1:20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</row>
    <row r="411" spans="1:20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</row>
    <row r="412" spans="1:20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</row>
    <row r="413" spans="1:20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</row>
    <row r="414" spans="1:20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</row>
    <row r="415" spans="1:20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</row>
    <row r="416" spans="1:20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</row>
    <row r="417" spans="1:20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</row>
    <row r="418" spans="1:20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</row>
    <row r="419" spans="1:20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</row>
    <row r="420" spans="1:20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</row>
    <row r="421" spans="1:20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</row>
    <row r="422" spans="1:20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</row>
    <row r="423" spans="1:20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</row>
    <row r="424" spans="1:20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</row>
    <row r="425" spans="1:20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</row>
    <row r="426" spans="1:20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</row>
    <row r="427" spans="1:20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</row>
    <row r="428" spans="1:20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</row>
    <row r="429" spans="1:20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</row>
    <row r="430" spans="1:20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</row>
    <row r="431" spans="1:20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</row>
    <row r="432" spans="1:20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</row>
    <row r="433" spans="1:20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</row>
    <row r="434" spans="1:20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</row>
    <row r="435" spans="1:20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</row>
    <row r="436" spans="1:20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</row>
    <row r="437" spans="1:20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</row>
    <row r="438" spans="1:20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</row>
    <row r="439" spans="1:20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</row>
    <row r="440" spans="1:20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</row>
    <row r="441" spans="1:20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</row>
    <row r="442" spans="1:20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</row>
    <row r="443" spans="1:20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</row>
    <row r="444" spans="1:20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</row>
    <row r="445" spans="1:20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</row>
    <row r="446" spans="1:20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</row>
    <row r="447" spans="1:20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</row>
    <row r="448" spans="1:20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</row>
    <row r="449" spans="1:20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</row>
    <row r="450" spans="1:20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</row>
    <row r="451" spans="1:20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</row>
    <row r="452" spans="1:20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</row>
    <row r="453" spans="1:20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</row>
    <row r="454" spans="1:20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</row>
    <row r="455" spans="1:20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</row>
    <row r="456" spans="1:20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</row>
    <row r="457" spans="1:20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</row>
    <row r="458" spans="1:20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</row>
    <row r="459" spans="1:20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</row>
    <row r="460" spans="1:20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</row>
    <row r="461" spans="1:20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</row>
    <row r="462" spans="1:20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</row>
    <row r="463" spans="1:20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</row>
    <row r="464" spans="1:20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</row>
    <row r="465" spans="1:20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</row>
    <row r="466" spans="1:20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</row>
    <row r="467" spans="1:20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</row>
    <row r="468" spans="1:20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</row>
    <row r="469" spans="1:20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</row>
    <row r="470" spans="1:20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</row>
    <row r="471" spans="1:20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</row>
    <row r="472" spans="1:20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</row>
    <row r="473" spans="1:20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</row>
    <row r="474" spans="1:20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</row>
    <row r="475" spans="1:20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</row>
    <row r="476" spans="1:20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</row>
    <row r="477" spans="1:20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</row>
    <row r="478" spans="1:20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</row>
    <row r="479" spans="1:20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</row>
    <row r="480" spans="1:20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</row>
    <row r="481" spans="1:20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</row>
    <row r="482" spans="1:20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</row>
    <row r="483" spans="1:20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</row>
    <row r="484" spans="1:20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</row>
    <row r="485" spans="1:20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</row>
    <row r="486" spans="1:20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</row>
    <row r="487" spans="1:20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</row>
    <row r="488" spans="1:20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</row>
    <row r="489" spans="1:20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</row>
    <row r="490" spans="1:20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</row>
    <row r="491" spans="1:20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</row>
    <row r="492" spans="1:20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</row>
    <row r="493" spans="1:20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</row>
    <row r="494" spans="1:20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</row>
    <row r="495" spans="1:20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</row>
    <row r="496" spans="1:20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</row>
    <row r="497" spans="1:20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</row>
    <row r="498" spans="1:20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</row>
    <row r="499" spans="1:20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</row>
    <row r="500" spans="1:20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</row>
    <row r="501" spans="1:20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</row>
    <row r="502" spans="1:20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</row>
    <row r="503" spans="1:20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</row>
    <row r="504" spans="1:20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</row>
    <row r="505" spans="1:20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</row>
    <row r="506" spans="1:20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</row>
    <row r="507" spans="1:20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</row>
    <row r="508" spans="1:20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</row>
    <row r="509" spans="1:20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</row>
    <row r="510" spans="1:20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</row>
    <row r="511" spans="1:20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</row>
    <row r="512" spans="1:20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</row>
    <row r="513" spans="1:20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</row>
    <row r="514" spans="1:20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</row>
    <row r="515" spans="1:20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</row>
    <row r="516" spans="1:20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</row>
    <row r="517" spans="1:20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</row>
    <row r="518" spans="1:20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</row>
    <row r="519" spans="1:20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</row>
    <row r="520" spans="1:20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</row>
    <row r="521" spans="1:20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</row>
    <row r="522" spans="1:20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</row>
    <row r="523" spans="1:20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</row>
    <row r="524" spans="1:20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</row>
    <row r="525" spans="1:20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</row>
    <row r="526" spans="1:20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</row>
    <row r="527" spans="1:20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</row>
    <row r="528" spans="1:20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</row>
    <row r="529" spans="1:20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</row>
    <row r="530" spans="1:20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</row>
    <row r="531" spans="1:20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</row>
    <row r="532" spans="1:20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</row>
    <row r="533" spans="1:20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</row>
    <row r="534" spans="1:20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</row>
    <row r="535" spans="1:20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</row>
    <row r="536" spans="1:20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</row>
    <row r="537" spans="1:20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</row>
    <row r="538" spans="1:20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</row>
    <row r="539" spans="1:20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</row>
    <row r="540" spans="1:20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</row>
    <row r="541" spans="1:20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</row>
    <row r="542" spans="1:20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</row>
    <row r="543" spans="1:20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</row>
    <row r="544" spans="1:20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</row>
    <row r="545" spans="1:20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</row>
    <row r="546" spans="1:20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</row>
    <row r="547" spans="1:20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</row>
    <row r="548" spans="1:20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</row>
    <row r="549" spans="1:20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</row>
    <row r="550" spans="1:20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</row>
    <row r="551" spans="1:20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</row>
    <row r="552" spans="1:20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</row>
    <row r="553" spans="1:20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</row>
    <row r="554" spans="1:20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</row>
    <row r="555" spans="1:20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</row>
    <row r="556" spans="1:20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</row>
    <row r="557" spans="1:20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</row>
    <row r="558" spans="1:20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</row>
    <row r="559" spans="1:20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</row>
    <row r="560" spans="1:20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</row>
    <row r="561" spans="1:20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</row>
    <row r="562" spans="1:20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</row>
    <row r="563" spans="1:20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</row>
    <row r="564" spans="1:20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</row>
    <row r="565" spans="1:20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</row>
    <row r="566" spans="1:20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</row>
    <row r="567" spans="1:20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</row>
    <row r="568" spans="1:20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</row>
    <row r="569" spans="1:20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</row>
    <row r="570" spans="1:20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</row>
    <row r="571" spans="1:20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</row>
    <row r="572" spans="1:20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</row>
    <row r="573" spans="1:20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</row>
    <row r="574" spans="1:20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</row>
    <row r="575" spans="1:20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</row>
    <row r="576" spans="1:20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</row>
    <row r="577" spans="1:20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</row>
    <row r="578" spans="1:20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</row>
    <row r="579" spans="1:20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</row>
    <row r="580" spans="1:20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</row>
    <row r="581" spans="1:20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</row>
    <row r="582" spans="1:20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</row>
    <row r="583" spans="1:20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</row>
    <row r="584" spans="1:20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</row>
    <row r="585" spans="1:20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</row>
    <row r="586" spans="1:20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</row>
    <row r="587" spans="1:20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</row>
    <row r="588" spans="1:20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</row>
    <row r="589" spans="1:20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</row>
    <row r="590" spans="1:20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</row>
    <row r="591" spans="1:20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</row>
    <row r="592" spans="1:20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</row>
    <row r="593" spans="1:20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</row>
    <row r="594" spans="1:20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</row>
    <row r="595" spans="1:20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</row>
    <row r="596" spans="1:20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</row>
    <row r="597" spans="1:20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</row>
    <row r="598" spans="1:20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</row>
    <row r="599" spans="1:20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</row>
    <row r="600" spans="1:20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</row>
    <row r="601" spans="1:20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</row>
    <row r="602" spans="1:20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</row>
    <row r="603" spans="1:20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</row>
    <row r="604" spans="1:20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</row>
    <row r="605" spans="1:20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</row>
    <row r="606" spans="1:20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</row>
    <row r="607" spans="1:20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</row>
    <row r="608" spans="1:20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</row>
    <row r="609" spans="1:20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</row>
    <row r="610" spans="1:20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</row>
    <row r="611" spans="1:20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</row>
    <row r="612" spans="1:20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</row>
    <row r="613" spans="1:20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</row>
    <row r="614" spans="1:20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</row>
    <row r="615" spans="1:20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</row>
    <row r="616" spans="1:20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</row>
    <row r="617" spans="1:20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</row>
    <row r="618" spans="1:20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</row>
    <row r="619" spans="1:20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</row>
    <row r="620" spans="1:20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</row>
    <row r="621" spans="1:20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</row>
    <row r="622" spans="1:20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</row>
    <row r="623" spans="1:20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</row>
    <row r="624" spans="1:20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</row>
    <row r="625" spans="1:20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</row>
    <row r="626" spans="1:20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</row>
    <row r="627" spans="1:20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</row>
    <row r="628" spans="1:20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</row>
    <row r="629" spans="1:20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</row>
    <row r="630" spans="1:20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</row>
    <row r="631" spans="1:20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</row>
    <row r="632" spans="1:20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</row>
    <row r="633" spans="1:20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</row>
    <row r="634" spans="1:20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</row>
    <row r="635" spans="1:20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</row>
    <row r="636" spans="1:20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</row>
    <row r="637" spans="1:20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</row>
    <row r="638" spans="1:20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</row>
    <row r="639" spans="1:20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</row>
    <row r="640" spans="1:20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</row>
    <row r="641" spans="1:20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</row>
    <row r="642" spans="1:20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</row>
    <row r="643" spans="1:20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</row>
    <row r="644" spans="1:20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</row>
    <row r="645" spans="1:20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</row>
    <row r="646" spans="1:20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</row>
    <row r="647" spans="1:20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</row>
    <row r="648" spans="1:20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</row>
    <row r="649" spans="1:20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</row>
    <row r="650" spans="1:20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</row>
    <row r="651" spans="1:20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</row>
    <row r="652" spans="1:20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</row>
    <row r="653" spans="1:20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</row>
    <row r="654" spans="1:20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</row>
    <row r="655" spans="1:20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</row>
    <row r="656" spans="1:20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</row>
    <row r="657" spans="1:20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</row>
    <row r="658" spans="1:20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</row>
    <row r="659" spans="1:20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</row>
    <row r="660" spans="1:20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</row>
    <row r="661" spans="1:20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</row>
    <row r="662" spans="1:20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</row>
    <row r="663" spans="1:20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</row>
    <row r="664" spans="1:20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</row>
    <row r="665" spans="1:20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</row>
    <row r="666" spans="1:20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</row>
    <row r="667" spans="1:20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</row>
    <row r="668" spans="1:20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</row>
    <row r="669" spans="1:20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</row>
    <row r="670" spans="1:20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</row>
    <row r="671" spans="1:20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</row>
    <row r="672" spans="1:20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</row>
    <row r="673" spans="1:20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</row>
    <row r="674" spans="1:20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</row>
    <row r="675" spans="1:20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</row>
    <row r="676" spans="1:20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</row>
    <row r="677" spans="1:20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</row>
    <row r="678" spans="1:20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</row>
    <row r="679" spans="1:20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</row>
    <row r="680" spans="1:20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</row>
    <row r="681" spans="1:20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</row>
    <row r="682" spans="1:20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</row>
    <row r="683" spans="1:20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</row>
    <row r="684" spans="1:20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</row>
    <row r="685" spans="1:20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</row>
    <row r="686" spans="1:20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</row>
    <row r="687" spans="1:20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</row>
    <row r="688" spans="1:20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</row>
    <row r="689" spans="1:20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</row>
    <row r="690" spans="1:20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</row>
    <row r="691" spans="1:20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</row>
    <row r="692" spans="1:20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</row>
    <row r="693" spans="1:20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</row>
    <row r="694" spans="1:20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</row>
    <row r="695" spans="1:20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</row>
    <row r="696" spans="1:20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</row>
    <row r="697" spans="1:20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</row>
    <row r="698" spans="1:20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</row>
    <row r="699" spans="1:20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</row>
    <row r="700" spans="1:20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</row>
    <row r="701" spans="1:20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</row>
    <row r="702" spans="1:20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</row>
    <row r="703" spans="1:20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</row>
    <row r="704" spans="1:20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</row>
    <row r="705" spans="1:20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</row>
    <row r="706" spans="1:20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</row>
    <row r="707" spans="1:20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</row>
    <row r="708" spans="1:20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</row>
    <row r="709" spans="1:20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</row>
    <row r="710" spans="1:20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</row>
    <row r="711" spans="1:20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</row>
    <row r="712" spans="1:20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</row>
    <row r="713" spans="1:20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</row>
    <row r="714" spans="1:20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</row>
    <row r="715" spans="1:20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</row>
    <row r="716" spans="1:20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</row>
    <row r="717" spans="1:20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</row>
    <row r="718" spans="1:20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</row>
    <row r="719" spans="1:20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</row>
    <row r="720" spans="1:20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</row>
    <row r="721" spans="1:20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</row>
    <row r="722" spans="1:20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</row>
    <row r="723" spans="1:20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</row>
    <row r="724" spans="1:20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</row>
    <row r="725" spans="1:20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</row>
    <row r="726" spans="1:20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</row>
    <row r="727" spans="1:20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</row>
    <row r="728" spans="1:20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</row>
    <row r="729" spans="1:20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</row>
    <row r="730" spans="1:20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</row>
    <row r="731" spans="1:20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</row>
    <row r="732" spans="1:20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</row>
    <row r="733" spans="1:20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</row>
    <row r="734" spans="1:20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</row>
    <row r="735" spans="1:20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</row>
    <row r="736" spans="1:20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</row>
    <row r="737" spans="1:20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</row>
    <row r="738" spans="1:20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</row>
    <row r="739" spans="1:20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</row>
    <row r="740" spans="1:20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</row>
    <row r="741" spans="1:20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</row>
    <row r="742" spans="1:20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</row>
    <row r="743" spans="1:20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</row>
    <row r="744" spans="1:20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</row>
    <row r="745" spans="1:20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</row>
    <row r="746" spans="1:20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</row>
    <row r="747" spans="1:20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</row>
    <row r="748" spans="1:20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</row>
    <row r="749" spans="1:20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</row>
    <row r="750" spans="1:20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</row>
    <row r="751" spans="1:20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</row>
    <row r="752" spans="1:20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</row>
    <row r="753" spans="1:20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</row>
    <row r="754" spans="1:20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</row>
    <row r="755" spans="1:20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</row>
    <row r="756" spans="1:20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</row>
    <row r="757" spans="1:20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</row>
    <row r="758" spans="1:20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</row>
    <row r="759" spans="1:20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</row>
    <row r="760" spans="1:20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</row>
    <row r="761" spans="1:20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</row>
    <row r="762" spans="1:20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</row>
    <row r="763" spans="1:20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</row>
    <row r="764" spans="1:20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</row>
    <row r="765" spans="1:20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</row>
    <row r="766" spans="1:20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</row>
    <row r="767" spans="1:20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</row>
    <row r="768" spans="1:20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</row>
    <row r="769" spans="1:20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</row>
    <row r="770" spans="1:20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</row>
    <row r="771" spans="1:20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</row>
    <row r="772" spans="1:20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</row>
    <row r="773" spans="1:20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</row>
    <row r="774" spans="1:20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</row>
    <row r="775" spans="1:20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</row>
    <row r="776" spans="1:20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</row>
    <row r="777" spans="1:20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</row>
    <row r="778" spans="1:20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</row>
    <row r="779" spans="1:20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</row>
    <row r="780" spans="1:20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</row>
    <row r="781" spans="1:20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</row>
    <row r="782" spans="1:20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</row>
    <row r="783" spans="1:20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</row>
    <row r="784" spans="1:20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</row>
    <row r="785" spans="1:20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</row>
    <row r="786" spans="1:20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</row>
    <row r="787" spans="1:20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</row>
    <row r="788" spans="1:20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</row>
    <row r="789" spans="1:20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</row>
    <row r="790" spans="1:20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</row>
    <row r="791" spans="1:20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</row>
    <row r="792" spans="1:20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</row>
    <row r="793" spans="1:20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</row>
    <row r="794" spans="1:20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</row>
    <row r="795" spans="1:20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</row>
    <row r="796" spans="1:20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</row>
    <row r="797" spans="1:20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</row>
    <row r="798" spans="1:20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</row>
    <row r="799" spans="1:20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</row>
    <row r="800" spans="1:20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</row>
    <row r="801" spans="1:20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</row>
    <row r="802" spans="1:20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</row>
    <row r="803" spans="1:20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</row>
    <row r="804" spans="1:20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</row>
    <row r="805" spans="1:20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</row>
    <row r="806" spans="1:20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</row>
    <row r="807" spans="1:20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</row>
    <row r="808" spans="1:20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</row>
    <row r="809" spans="1:20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</row>
    <row r="810" spans="1:20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</row>
    <row r="811" spans="1:20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</row>
    <row r="812" spans="1:20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</row>
    <row r="813" spans="1:20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</row>
    <row r="814" spans="1:20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</row>
    <row r="815" spans="1:20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</row>
    <row r="816" spans="1:20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</row>
    <row r="817" spans="1:20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</row>
    <row r="818" spans="1:20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</row>
    <row r="819" spans="1:20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</row>
    <row r="820" spans="1:20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</row>
    <row r="821" spans="1:20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</row>
    <row r="822" spans="1:20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</row>
    <row r="823" spans="1:20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</row>
    <row r="824" spans="1:20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</row>
    <row r="825" spans="1:20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</row>
    <row r="826" spans="1:20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</row>
    <row r="827" spans="1:20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</row>
    <row r="828" spans="1:20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</row>
    <row r="829" spans="1:20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</row>
    <row r="830" spans="1:20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</row>
    <row r="831" spans="1:20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</row>
    <row r="832" spans="1:20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</row>
    <row r="833" spans="1:20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</row>
    <row r="834" spans="1:20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</row>
    <row r="835" spans="1:20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</row>
    <row r="836" spans="1:20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</row>
    <row r="837" spans="1:20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</row>
    <row r="838" spans="1:20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</row>
    <row r="839" spans="1:20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</row>
    <row r="840" spans="1:20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</row>
    <row r="841" spans="1:20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</row>
    <row r="842" spans="1:20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</row>
    <row r="843" spans="1:20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</row>
    <row r="844" spans="1:20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</row>
    <row r="845" spans="1:20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</row>
    <row r="846" spans="1:20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</row>
    <row r="847" spans="1:20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</row>
    <row r="848" spans="1:20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</row>
    <row r="849" spans="1:20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</row>
    <row r="850" spans="1:20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</row>
    <row r="851" spans="1:20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</row>
    <row r="852" spans="1:20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</row>
    <row r="853" spans="1:20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</row>
    <row r="854" spans="1:20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</row>
    <row r="855" spans="1:20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</row>
    <row r="856" spans="1:20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</row>
    <row r="857" spans="1:20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</row>
    <row r="858" spans="1:20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</row>
    <row r="859" spans="1:20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</row>
    <row r="860" spans="1:20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</row>
    <row r="861" spans="1:20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</row>
    <row r="862" spans="1:20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</row>
    <row r="863" spans="1:20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</row>
    <row r="864" spans="1:20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</row>
    <row r="865" spans="1:20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</row>
    <row r="866" spans="1:20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</row>
    <row r="867" spans="1:20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</row>
    <row r="868" spans="1:20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</row>
    <row r="869" spans="1:20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</row>
    <row r="870" spans="1:20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</row>
    <row r="871" spans="1:20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</row>
    <row r="872" spans="1:20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</row>
    <row r="873" spans="1:20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</row>
    <row r="874" spans="1:20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</row>
    <row r="875" spans="1:20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</row>
    <row r="876" spans="1:20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</row>
    <row r="877" spans="1:20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</row>
    <row r="878" spans="1:20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</row>
    <row r="879" spans="1:20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</row>
    <row r="880" spans="1:20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</row>
    <row r="881" spans="1:20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</row>
    <row r="882" spans="1:20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</row>
    <row r="883" spans="1:20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</row>
    <row r="884" spans="1:20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</row>
    <row r="885" spans="1:20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</row>
    <row r="886" spans="1:20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</row>
    <row r="887" spans="1:20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</row>
    <row r="888" spans="1:20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</row>
    <row r="889" spans="1:20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</row>
    <row r="890" spans="1:20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</row>
    <row r="891" spans="1:20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</row>
    <row r="892" spans="1:20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</row>
    <row r="893" spans="1:20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</row>
    <row r="894" spans="1:20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</row>
    <row r="895" spans="1:20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</row>
    <row r="896" spans="1:20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</row>
    <row r="897" spans="1:20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</row>
    <row r="898" spans="1:20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</row>
    <row r="899" spans="1:20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</row>
    <row r="900" spans="1:20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</row>
    <row r="901" spans="1:20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</row>
    <row r="902" spans="1:20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</row>
    <row r="903" spans="1:20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</row>
    <row r="904" spans="1:20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</row>
    <row r="905" spans="1:20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</row>
    <row r="906" spans="1:20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</row>
    <row r="907" spans="1:20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</row>
    <row r="908" spans="1:20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</row>
    <row r="909" spans="1:20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</row>
    <row r="910" spans="1:20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</row>
    <row r="911" spans="1:20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</row>
    <row r="912" spans="1:20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</row>
    <row r="913" spans="1:20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</row>
    <row r="914" spans="1:20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</row>
    <row r="915" spans="1:20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</row>
    <row r="916" spans="1:20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</row>
    <row r="917" spans="1:20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</row>
    <row r="918" spans="1:20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</row>
    <row r="919" spans="1:20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</row>
    <row r="920" spans="1:20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</row>
    <row r="921" spans="1:20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</row>
    <row r="922" spans="1:20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</row>
    <row r="923" spans="1:20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</row>
    <row r="924" spans="1:20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</row>
    <row r="925" spans="1:20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</row>
    <row r="926" spans="1:20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</row>
    <row r="927" spans="1:20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</row>
    <row r="928" spans="1:20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</row>
    <row r="929" spans="1:20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</row>
    <row r="930" spans="1:20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</row>
    <row r="931" spans="1:20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</row>
    <row r="932" spans="1:20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</row>
    <row r="933" spans="1:20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</row>
    <row r="934" spans="1:20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</row>
    <row r="935" spans="1:20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</row>
    <row r="936" spans="1:20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</row>
    <row r="937" spans="1:20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</row>
    <row r="938" spans="1:20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</row>
    <row r="939" spans="1:20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</row>
    <row r="940" spans="1:20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</row>
    <row r="941" spans="1:20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</row>
    <row r="942" spans="1:20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</row>
    <row r="943" spans="1:20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</row>
    <row r="944" spans="1:20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</row>
    <row r="945" spans="1:20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</row>
    <row r="946" spans="1:20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</row>
    <row r="947" spans="1:20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</row>
    <row r="948" spans="1:20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</row>
    <row r="949" spans="1:20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</row>
    <row r="950" spans="1:20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</row>
    <row r="951" spans="1:20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</row>
    <row r="952" spans="1:20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</row>
    <row r="953" spans="1:20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</row>
    <row r="954" spans="1:20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</row>
    <row r="955" spans="1:20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</row>
    <row r="956" spans="1:20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</row>
    <row r="957" spans="1:20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</row>
    <row r="958" spans="1:20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</row>
    <row r="959" spans="1:20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</row>
    <row r="960" spans="1:20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</row>
    <row r="961" spans="1:20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</row>
    <row r="962" spans="1:20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</row>
    <row r="963" spans="1:20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</row>
    <row r="964" spans="1:20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</row>
    <row r="965" spans="1:20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</row>
    <row r="966" spans="1:20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</row>
    <row r="967" spans="1:20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</row>
    <row r="968" spans="1:20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</row>
    <row r="969" spans="1:20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</row>
    <row r="970" spans="1:20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</row>
    <row r="971" spans="1:20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</row>
    <row r="972" spans="1:20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</row>
    <row r="973" spans="1:20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</row>
    <row r="974" spans="1:20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</row>
    <row r="975" spans="1:20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</row>
    <row r="976" spans="1:20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</row>
    <row r="977" spans="1:20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</row>
    <row r="978" spans="1:20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</row>
    <row r="979" spans="1:20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</row>
    <row r="980" spans="1:20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</row>
    <row r="981" spans="1:20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</row>
    <row r="982" spans="1:20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</row>
    <row r="983" spans="1:20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</row>
    <row r="984" spans="1:20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</row>
    <row r="985" spans="1:20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</row>
    <row r="986" spans="1:20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</row>
    <row r="987" spans="1:20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</row>
    <row r="988" spans="1:20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</row>
    <row r="989" spans="1:20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</row>
    <row r="990" spans="1:20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</row>
    <row r="991" spans="1:20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</row>
    <row r="992" spans="1:20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</row>
    <row r="993" spans="1:20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</row>
    <row r="994" spans="1:20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</row>
    <row r="995" spans="1:20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</row>
    <row r="996" spans="1:20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</row>
    <row r="997" spans="1:20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</row>
    <row r="998" spans="1:20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</row>
    <row r="999" spans="1:20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</row>
    <row r="1000" spans="1:20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cols>
    <col min="1" max="1" width="23" customWidth="1"/>
  </cols>
  <sheetData>
    <row r="1" spans="1:19">
      <c r="A1" s="46" t="str">
        <f ca="1">IFERROR(__xludf.DUMMYFUNCTION("IMPORTRANGE(""https://docs.google.com/spreadsheets/d/10IqGK8hPttXMfMGKFeSIUOsu5FYmsc1T33xvKX4SQDw/edit?gid=1688469650#gid=1688469650"",""01!A1:S"")"),"INDICADORES")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IFERROR(__xludf.DUMMYFUNCTION("""COMPUTED_VALUE"""),"SESIONES DE AYUNTAMIENTO")</f>
        <v>SESIONES DE AYUNTAMIENTO</v>
      </c>
      <c r="B2" s="46">
        <f ca="1">IFERROR(__xludf.DUMMYFUNCTION("""COMPUTED_VALUE"""),15)</f>
        <v>15</v>
      </c>
      <c r="C2" s="46" t="str">
        <f ca="1">IFERROR(__xludf.DUMMYFUNCTION("""COMPUTED_VALUE"""),"SESIONES")</f>
        <v>SESIONES</v>
      </c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8">
        <f ca="1">IFERROR(__xludf.DUMMYFUNCTION("""COMPUTED_VALUE"""),95)</f>
        <v>95</v>
      </c>
      <c r="G2" s="48">
        <f ca="1">IFERROR(__xludf.DUMMYFUNCTION("""COMPUTED_VALUE"""),2)</f>
        <v>2</v>
      </c>
      <c r="H2" s="48">
        <f ca="1">IFERROR(__xludf.DUMMYFUNCTION("""COMPUTED_VALUE"""),1)</f>
        <v>1</v>
      </c>
      <c r="I2" s="48">
        <f ca="1">IFERROR(__xludf.DUMMYFUNCTION("""COMPUTED_VALUE"""),2)</f>
        <v>2</v>
      </c>
      <c r="J2" s="48">
        <f ca="1">IFERROR(__xludf.DUMMYFUNCTION("""COMPUTED_VALUE"""),2)</f>
        <v>2</v>
      </c>
      <c r="K2" s="48">
        <f ca="1">IFERROR(__xludf.DUMMYFUNCTION("""COMPUTED_VALUE"""),2)</f>
        <v>2</v>
      </c>
      <c r="L2" s="48">
        <f ca="1">IFERROR(__xludf.DUMMYFUNCTION("""COMPUTED_VALUE"""),2)</f>
        <v>2</v>
      </c>
      <c r="M2" s="48">
        <f ca="1">IFERROR(__xludf.DUMMYFUNCTION("""COMPUTED_VALUE"""),1)</f>
        <v>1</v>
      </c>
      <c r="N2" s="48">
        <f ca="1">IFERROR(__xludf.DUMMYFUNCTION("""COMPUTED_VALUE"""),2)</f>
        <v>2</v>
      </c>
      <c r="O2" s="48">
        <f ca="1">IFERROR(__xludf.DUMMYFUNCTION("""COMPUTED_VALUE"""),2)</f>
        <v>2</v>
      </c>
      <c r="P2" s="48">
        <f ca="1">IFERROR(__xludf.DUMMYFUNCTION("""COMPUTED_VALUE"""),1)</f>
        <v>1</v>
      </c>
      <c r="Q2" s="48">
        <f ca="1">IFERROR(__xludf.DUMMYFUNCTION("""COMPUTED_VALUE"""),1)</f>
        <v>1</v>
      </c>
      <c r="R2" s="48">
        <f ca="1">IFERROR(__xludf.DUMMYFUNCTION("""COMPUTED_VALUE"""),1)</f>
        <v>1</v>
      </c>
      <c r="S2" s="48">
        <f ca="1">IFERROR(__xludf.DUMMYFUNCTION("""COMPUTED_VALUE"""),19)</f>
        <v>19</v>
      </c>
    </row>
    <row r="3" spans="1:19">
      <c r="A3" s="46" t="str">
        <f ca="1">IFERROR(__xludf.DUMMYFUNCTION("""COMPUTED_VALUE"""),"CONSTANCIAS")</f>
        <v>CONSTANCIAS</v>
      </c>
      <c r="B3" s="46">
        <f ca="1">IFERROR(__xludf.DUMMYFUNCTION("""COMPUTED_VALUE"""),1200)</f>
        <v>1200</v>
      </c>
      <c r="C3" s="46" t="str">
        <f ca="1">IFERROR(__xludf.DUMMYFUNCTION("""COMPUTED_VALUE"""),"CONSTANCIAS")</f>
        <v>CONSTANCIAS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8">
        <f ca="1">IFERROR(__xludf.DUMMYFUNCTION("""COMPUTED_VALUE"""),119.75)</f>
        <v>119.75</v>
      </c>
      <c r="G3" s="48">
        <f ca="1">IFERROR(__xludf.DUMMYFUNCTION("""COMPUTED_VALUE"""),91)</f>
        <v>91</v>
      </c>
      <c r="H3" s="48">
        <f ca="1">IFERROR(__xludf.DUMMYFUNCTION("""COMPUTED_VALUE"""),113)</f>
        <v>113</v>
      </c>
      <c r="I3" s="48">
        <f ca="1">IFERROR(__xludf.DUMMYFUNCTION("""COMPUTED_VALUE"""),100)</f>
        <v>100</v>
      </c>
      <c r="J3" s="48">
        <f ca="1">IFERROR(__xludf.DUMMYFUNCTION("""COMPUTED_VALUE"""),97)</f>
        <v>97</v>
      </c>
      <c r="K3" s="48">
        <f ca="1">IFERROR(__xludf.DUMMYFUNCTION("""COMPUTED_VALUE"""),109)</f>
        <v>109</v>
      </c>
      <c r="L3" s="48">
        <f ca="1">IFERROR(__xludf.DUMMYFUNCTION("""COMPUTED_VALUE"""),89)</f>
        <v>89</v>
      </c>
      <c r="M3" s="48">
        <f ca="1">IFERROR(__xludf.DUMMYFUNCTION("""COMPUTED_VALUE"""),97)</f>
        <v>97</v>
      </c>
      <c r="N3" s="48">
        <f ca="1">IFERROR(__xludf.DUMMYFUNCTION("""COMPUTED_VALUE"""),114)</f>
        <v>114</v>
      </c>
      <c r="O3" s="48">
        <f ca="1">IFERROR(__xludf.DUMMYFUNCTION("""COMPUTED_VALUE"""),180)</f>
        <v>180</v>
      </c>
      <c r="P3" s="48">
        <f ca="1">IFERROR(__xludf.DUMMYFUNCTION("""COMPUTED_VALUE"""),158)</f>
        <v>158</v>
      </c>
      <c r="Q3" s="48">
        <f ca="1">IFERROR(__xludf.DUMMYFUNCTION("""COMPUTED_VALUE"""),183)</f>
        <v>183</v>
      </c>
      <c r="R3" s="48">
        <f ca="1">IFERROR(__xludf.DUMMYFUNCTION("""COMPUTED_VALUE"""),106)</f>
        <v>106</v>
      </c>
      <c r="S3" s="48">
        <f ca="1">IFERROR(__xludf.DUMMYFUNCTION("""COMPUTED_VALUE"""),1437)</f>
        <v>1437</v>
      </c>
    </row>
    <row r="4" spans="1:19">
      <c r="A4" s="46" t="str">
        <f ca="1">IFERROR(__xludf.DUMMYFUNCTION("""COMPUTED_VALUE"""),"TRAMITES DE CARTILLA")</f>
        <v>TRAMITES DE CARTILLA</v>
      </c>
      <c r="B4" s="46">
        <f ca="1">IFERROR(__xludf.DUMMYFUNCTION("""COMPUTED_VALUE"""),80)</f>
        <v>80</v>
      </c>
      <c r="C4" s="46" t="str">
        <f ca="1">IFERROR(__xludf.DUMMYFUNCTION("""COMPUTED_VALUE"""),"PRECARTILLAS ")</f>
        <v xml:space="preserve">PRECARTILLAS 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8">
        <f ca="1">IFERROR(__xludf.DUMMYFUNCTION("""COMPUTED_VALUE"""),106.25)</f>
        <v>106.25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IFERROR(__xludf.DUMMYFUNCTION("""COMPUTED_VALUE"""),2)</f>
        <v>2</v>
      </c>
      <c r="K4" s="48">
        <f ca="1">IFERROR(__xludf.DUMMYFUNCTION("""COMPUTED_VALUE"""),32)</f>
        <v>32</v>
      </c>
      <c r="L4" s="48">
        <f ca="1">IFERROR(__xludf.DUMMYFUNCTION("""COMPUTED_VALUE"""),21)</f>
        <v>21</v>
      </c>
      <c r="M4" s="48">
        <f ca="1">IFERROR(__xludf.DUMMYFUNCTION("""COMPUTED_VALUE"""),6)</f>
        <v>6</v>
      </c>
      <c r="N4" s="48">
        <f ca="1">IFERROR(__xludf.DUMMYFUNCTION("""COMPUTED_VALUE"""),1)</f>
        <v>1</v>
      </c>
      <c r="O4" s="48">
        <f ca="1">IFERROR(__xludf.DUMMYFUNCTION("""COMPUTED_VALUE"""),2)</f>
        <v>2</v>
      </c>
      <c r="P4" s="48">
        <f ca="1">IFERROR(__xludf.DUMMYFUNCTION("""COMPUTED_VALUE"""),2)</f>
        <v>2</v>
      </c>
      <c r="Q4" s="48">
        <f ca="1">IFERROR(__xludf.DUMMYFUNCTION("""COMPUTED_VALUE"""),9)</f>
        <v>9</v>
      </c>
      <c r="R4" s="48">
        <f ca="1">IFERROR(__xludf.DUMMYFUNCTION("""COMPUTED_VALUE"""),10)</f>
        <v>10</v>
      </c>
      <c r="S4" s="48">
        <f ca="1">IFERROR(__xludf.DUMMYFUNCTION("""COMPUTED_VALUE"""),85)</f>
        <v>85</v>
      </c>
    </row>
    <row r="5" spans="1:19">
      <c r="A5" s="46" t="str">
        <f ca="1">IFERROR(__xludf.DUMMYFUNCTION("""COMPUTED_VALUE"""),"TITULOS DE CONCESION")</f>
        <v>TITULOS DE CONCESION</v>
      </c>
      <c r="B5" s="46">
        <f ca="1">IFERROR(__xludf.DUMMYFUNCTION("""COMPUTED_VALUE"""),15)</f>
        <v>15</v>
      </c>
      <c r="C5" s="46" t="str">
        <f ca="1">IFERROR(__xludf.DUMMYFUNCTION("""COMPUTED_VALUE"""),"TITULOS")</f>
        <v>TITULOS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8">
        <f ca="1">IFERROR(__xludf.DUMMYFUNCTION("""COMPUTED_VALUE"""),102.222222222222)</f>
        <v>102.222222222222</v>
      </c>
      <c r="G5" s="48">
        <f ca="1">IFERROR(__xludf.DUMMYFUNCTION("""COMPUTED_VALUE"""),2)</f>
        <v>2</v>
      </c>
      <c r="H5" s="48">
        <f ca="1">IFERROR(__xludf.DUMMYFUNCTION("""COMPUTED_VALUE"""),3)</f>
        <v>3</v>
      </c>
      <c r="I5" s="48">
        <f ca="1">IFERROR(__xludf.DUMMYFUNCTION("""COMPUTED_VALUE"""),6)</f>
        <v>6</v>
      </c>
      <c r="J5" s="48">
        <f ca="1">IFERROR(__xludf.DUMMYFUNCTION("""COMPUTED_VALUE"""),4)</f>
        <v>4</v>
      </c>
      <c r="K5" s="48">
        <f ca="1">IFERROR(__xludf.DUMMYFUNCTION("""COMPUTED_VALUE"""),4)</f>
        <v>4</v>
      </c>
      <c r="L5" s="48">
        <f ca="1">IFERROR(__xludf.DUMMYFUNCTION("""COMPUTED_VALUE"""),4)</f>
        <v>4</v>
      </c>
      <c r="M5" s="48">
        <f ca="1">IFERROR(__xludf.DUMMYFUNCTION("""COMPUTED_VALUE"""),1)</f>
        <v>1</v>
      </c>
      <c r="N5" s="48">
        <f ca="1">IFERROR(__xludf.DUMMYFUNCTION("""COMPUTED_VALUE"""),7)</f>
        <v>7</v>
      </c>
      <c r="O5" s="48">
        <f ca="1">IFERROR(__xludf.DUMMYFUNCTION("""COMPUTED_VALUE"""),4)</f>
        <v>4</v>
      </c>
      <c r="P5" s="48">
        <f ca="1">IFERROR(__xludf.DUMMYFUNCTION("""COMPUTED_VALUE"""),5)</f>
        <v>5</v>
      </c>
      <c r="Q5" s="48">
        <f ca="1">IFERROR(__xludf.DUMMYFUNCTION("""COMPUTED_VALUE"""),2)</f>
        <v>2</v>
      </c>
      <c r="R5" s="48">
        <f ca="1">IFERROR(__xludf.DUMMYFUNCTION("""COMPUTED_VALUE"""),4)</f>
        <v>4</v>
      </c>
      <c r="S5" s="48">
        <f ca="1">IFERROR(__xludf.DUMMYFUNCTION("""COMPUTED_VALUE"""),46)</f>
        <v>46</v>
      </c>
    </row>
    <row r="6" spans="1:19">
      <c r="A6" s="46" t="str">
        <f ca="1">IFERROR(__xludf.DUMMYFUNCTION("""COMPUTED_VALUE"""),"EXHUMACIONES")</f>
        <v>EXHUMACIONES</v>
      </c>
      <c r="B6" s="46">
        <f ca="1">IFERROR(__xludf.DUMMYFUNCTION("""COMPUTED_VALUE"""),30)</f>
        <v>30</v>
      </c>
      <c r="C6" s="46" t="str">
        <f ca="1">IFERROR(__xludf.DUMMYFUNCTION("""COMPUTED_VALUE"""),"EXHUMACIONES")</f>
        <v>EXHUMACIONES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8">
        <f ca="1">IFERROR(__xludf.DUMMYFUNCTION("""COMPUTED_VALUE"""),96.3768115942028)</f>
        <v>96.376811594202806</v>
      </c>
      <c r="G6" s="48">
        <f ca="1">IFERROR(__xludf.DUMMYFUNCTION("""COMPUTED_VALUE"""),11)</f>
        <v>11</v>
      </c>
      <c r="H6" s="48">
        <f ca="1">IFERROR(__xludf.DUMMYFUNCTION("""COMPUTED_VALUE"""),21)</f>
        <v>21</v>
      </c>
      <c r="I6" s="48">
        <f ca="1">IFERROR(__xludf.DUMMYFUNCTION("""COMPUTED_VALUE"""),11)</f>
        <v>11</v>
      </c>
      <c r="J6" s="48">
        <f ca="1">IFERROR(__xludf.DUMMYFUNCTION("""COMPUTED_VALUE"""),20)</f>
        <v>20</v>
      </c>
      <c r="K6" s="48">
        <f ca="1">IFERROR(__xludf.DUMMYFUNCTION("""COMPUTED_VALUE"""),10)</f>
        <v>10</v>
      </c>
      <c r="L6" s="48">
        <f ca="1">IFERROR(__xludf.DUMMYFUNCTION("""COMPUTED_VALUE"""),15)</f>
        <v>15</v>
      </c>
      <c r="M6" s="48">
        <f ca="1">IFERROR(__xludf.DUMMYFUNCTION("""COMPUTED_VALUE"""),4)</f>
        <v>4</v>
      </c>
      <c r="N6" s="48">
        <f ca="1">IFERROR(__xludf.DUMMYFUNCTION("""COMPUTED_VALUE"""),11)</f>
        <v>11</v>
      </c>
      <c r="O6" s="48">
        <f ca="1">IFERROR(__xludf.DUMMYFUNCTION("""COMPUTED_VALUE"""),14)</f>
        <v>14</v>
      </c>
      <c r="P6" s="48">
        <f ca="1">IFERROR(__xludf.DUMMYFUNCTION("""COMPUTED_VALUE"""),2)</f>
        <v>2</v>
      </c>
      <c r="Q6" s="48">
        <f ca="1">IFERROR(__xludf.DUMMYFUNCTION("""COMPUTED_VALUE"""),6)</f>
        <v>6</v>
      </c>
      <c r="R6" s="48">
        <f ca="1">IFERROR(__xludf.DUMMYFUNCTION("""COMPUTED_VALUE"""),8)</f>
        <v>8</v>
      </c>
      <c r="S6" s="48">
        <f ca="1">IFERROR(__xludf.DUMMYFUNCTION("""COMPUTED_VALUE"""),133)</f>
        <v>133</v>
      </c>
    </row>
    <row r="7" spans="1:19">
      <c r="A7" s="46" t="str">
        <f ca="1">IFERROR(__xludf.DUMMYFUNCTION("""COMPUTED_VALUE"""),"CAMBIOS DE PROPIETARIO")</f>
        <v>CAMBIOS DE PROPIETARIO</v>
      </c>
      <c r="B7" s="46">
        <f ca="1">IFERROR(__xludf.DUMMYFUNCTION("""COMPUTED_VALUE"""),12)</f>
        <v>12</v>
      </c>
      <c r="C7" s="46" t="str">
        <f ca="1">IFERROR(__xludf.DUMMYFUNCTION("""COMPUTED_VALUE"""),"CAMBIOS")</f>
        <v>CAMBIOS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8">
        <f ca="1">IFERROR(__xludf.DUMMYFUNCTION("""COMPUTED_VALUE"""),105.263157894736)</f>
        <v>105.263157894736</v>
      </c>
      <c r="G7" s="48">
        <f ca="1">IFERROR(__xludf.DUMMYFUNCTION("""COMPUTED_VALUE"""),2)</f>
        <v>2</v>
      </c>
      <c r="H7" s="48">
        <f ca="1">IFERROR(__xludf.DUMMYFUNCTION("""COMPUTED_VALUE"""),6)</f>
        <v>6</v>
      </c>
      <c r="I7" s="48">
        <f ca="1">IFERROR(__xludf.DUMMYFUNCTION("""COMPUTED_VALUE"""),4)</f>
        <v>4</v>
      </c>
      <c r="J7" s="48">
        <f ca="1">IFERROR(__xludf.DUMMYFUNCTION("""COMPUTED_VALUE"""),2)</f>
        <v>2</v>
      </c>
      <c r="K7" s="48">
        <f ca="1">IFERROR(__xludf.DUMMYFUNCTION("""COMPUTED_VALUE"""),3)</f>
        <v>3</v>
      </c>
      <c r="L7" s="48">
        <f ca="1">IFERROR(__xludf.DUMMYFUNCTION("""COMPUTED_VALUE"""),2)</f>
        <v>2</v>
      </c>
      <c r="M7" s="48">
        <f ca="1">IFERROR(__xludf.DUMMYFUNCTION("""COMPUTED_VALUE"""),2)</f>
        <v>2</v>
      </c>
      <c r="N7" s="48">
        <f ca="1">IFERROR(__xludf.DUMMYFUNCTION("""COMPUTED_VALUE"""),1)</f>
        <v>1</v>
      </c>
      <c r="O7" s="48">
        <f ca="1">IFERROR(__xludf.DUMMYFUNCTION("""COMPUTED_VALUE"""),7)</f>
        <v>7</v>
      </c>
      <c r="P7" s="48">
        <f ca="1">IFERROR(__xludf.DUMMYFUNCTION("""COMPUTED_VALUE"""),8)</f>
        <v>8</v>
      </c>
      <c r="Q7" s="48">
        <f ca="1">IFERROR(__xludf.DUMMYFUNCTION("""COMPUTED_VALUE"""),1)</f>
        <v>1</v>
      </c>
      <c r="R7" s="48">
        <f ca="1">IFERROR(__xludf.DUMMYFUNCTION("""COMPUTED_VALUE"""),2)</f>
        <v>2</v>
      </c>
      <c r="S7" s="48">
        <f ca="1">IFERROR(__xludf.DUMMYFUNCTION("""COMPUTED_VALUE"""),40)</f>
        <v>40</v>
      </c>
    </row>
    <row r="8" spans="1:19">
      <c r="A8" s="46" t="str">
        <f ca="1">IFERROR(__xludf.DUMMYFUNCTION("""COMPUTED_VALUE"""),"MANTENIMIENTO DE FOSA")</f>
        <v>MANTENIMIENTO DE FOSA</v>
      </c>
      <c r="B8" s="46">
        <f ca="1">IFERROR(__xludf.DUMMYFUNCTION("""COMPUTED_VALUE"""),520)</f>
        <v>520</v>
      </c>
      <c r="C8" s="46" t="str">
        <f ca="1">IFERROR(__xludf.DUMMYFUNCTION("""COMPUTED_VALUE"""),"MANTENIMIENTOS")</f>
        <v>MANTENIMIENTOS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8">
        <f ca="1">IFERROR(__xludf.DUMMYFUNCTION("""COMPUTED_VALUE"""),95.7692307692307)</f>
        <v>95.769230769230703</v>
      </c>
      <c r="G8" s="48">
        <f ca="1">IFERROR(__xludf.DUMMYFUNCTION("""COMPUTED_VALUE"""),90)</f>
        <v>90</v>
      </c>
      <c r="H8" s="48">
        <f ca="1">IFERROR(__xludf.DUMMYFUNCTION("""COMPUTED_VALUE"""),100)</f>
        <v>100</v>
      </c>
      <c r="I8" s="48">
        <f ca="1">IFERROR(__xludf.DUMMYFUNCTION("""COMPUTED_VALUE"""),104)</f>
        <v>104</v>
      </c>
      <c r="J8" s="48">
        <f ca="1">IFERROR(__xludf.DUMMYFUNCTION("""COMPUTED_VALUE"""),365)</f>
        <v>365</v>
      </c>
      <c r="K8" s="48">
        <f ca="1">IFERROR(__xludf.DUMMYFUNCTION("""COMPUTED_VALUE"""),105)</f>
        <v>105</v>
      </c>
      <c r="L8" s="48">
        <f ca="1">IFERROR(__xludf.DUMMYFUNCTION("""COMPUTED_VALUE"""),115)</f>
        <v>115</v>
      </c>
      <c r="M8" s="48">
        <f ca="1">IFERROR(__xludf.DUMMYFUNCTION("""COMPUTED_VALUE"""),110)</f>
        <v>110</v>
      </c>
      <c r="N8" s="48">
        <f ca="1">IFERROR(__xludf.DUMMYFUNCTION("""COMPUTED_VALUE"""),107)</f>
        <v>107</v>
      </c>
      <c r="O8" s="48">
        <f ca="1">IFERROR(__xludf.DUMMYFUNCTION("""COMPUTED_VALUE"""),118)</f>
        <v>118</v>
      </c>
      <c r="P8" s="48">
        <f ca="1">IFERROR(__xludf.DUMMYFUNCTION("""COMPUTED_VALUE"""),7)</f>
        <v>7</v>
      </c>
      <c r="Q8" s="48">
        <f ca="1">IFERROR(__xludf.DUMMYFUNCTION("""COMPUTED_VALUE"""),5)</f>
        <v>5</v>
      </c>
      <c r="R8" s="48">
        <f ca="1">IFERROR(__xludf.DUMMYFUNCTION("""COMPUTED_VALUE"""),19)</f>
        <v>19</v>
      </c>
      <c r="S8" s="48">
        <f ca="1">IFERROR(__xludf.DUMMYFUNCTION("""COMPUTED_VALUE"""),1245)</f>
        <v>1245</v>
      </c>
    </row>
    <row r="9" spans="1:19">
      <c r="A9" s="46" t="str">
        <f ca="1">IFERROR(__xludf.DUMMYFUNCTION("""COMPUTED_VALUE"""),"TRAMITE DE REGULARIZACION")</f>
        <v>TRAMITE DE REGULARIZACION</v>
      </c>
      <c r="B9" s="46">
        <f ca="1">IFERROR(__xludf.DUMMYFUNCTION("""COMPUTED_VALUE"""),500)</f>
        <v>500</v>
      </c>
      <c r="C9" s="46" t="str">
        <f ca="1">IFERROR(__xludf.DUMMYFUNCTION("""COMPUTED_VALUE"""),"TRAMITES REALIZADOS")</f>
        <v>TRAMITES REALIZADOS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8">
        <f ca="1">IFERROR(__xludf.DUMMYFUNCTION("""COMPUTED_VALUE"""),106.666666666666)</f>
        <v>106.666666666666</v>
      </c>
      <c r="G9" s="48">
        <f ca="1">IFERROR(__xludf.DUMMYFUNCTION("""COMPUTED_VALUE"""),2)</f>
        <v>2</v>
      </c>
      <c r="H9" s="48">
        <f ca="1">IFERROR(__xludf.DUMMYFUNCTION("""COMPUTED_VALUE"""),6)</f>
        <v>6</v>
      </c>
      <c r="I9" s="48">
        <f ca="1">IFERROR(__xludf.DUMMYFUNCTION("""COMPUTED_VALUE"""),6)</f>
        <v>6</v>
      </c>
      <c r="J9" s="48">
        <f ca="1">IFERROR(__xludf.DUMMYFUNCTION("""COMPUTED_VALUE"""),7)</f>
        <v>7</v>
      </c>
      <c r="K9" s="48">
        <f ca="1">IFERROR(__xludf.DUMMYFUNCTION("""COMPUTED_VALUE"""),6)</f>
        <v>6</v>
      </c>
      <c r="L9" s="48">
        <f ca="1">IFERROR(__xludf.DUMMYFUNCTION("""COMPUTED_VALUE"""),7)</f>
        <v>7</v>
      </c>
      <c r="M9" s="48">
        <f ca="1">IFERROR(__xludf.DUMMYFUNCTION("""COMPUTED_VALUE"""),2)</f>
        <v>2</v>
      </c>
      <c r="N9" s="48">
        <f ca="1">IFERROR(__xludf.DUMMYFUNCTION("""COMPUTED_VALUE"""),3)</f>
        <v>3</v>
      </c>
      <c r="O9" s="48">
        <f ca="1">IFERROR(__xludf.DUMMYFUNCTION("""COMPUTED_VALUE"""),16)</f>
        <v>16</v>
      </c>
      <c r="P9" s="48">
        <f ca="1">IFERROR(__xludf.DUMMYFUNCTION("""COMPUTED_VALUE"""),8)</f>
        <v>8</v>
      </c>
      <c r="Q9" s="48">
        <f ca="1">IFERROR(__xludf.DUMMYFUNCTION("""COMPUTED_VALUE"""),1)</f>
        <v>1</v>
      </c>
      <c r="R9" s="48">
        <f ca="1">IFERROR(__xludf.DUMMYFUNCTION("""COMPUTED_VALUE"""),0)</f>
        <v>0</v>
      </c>
      <c r="S9" s="48">
        <f ca="1">IFERROR(__xludf.DUMMYFUNCTION("""COMPUTED_VALUE"""),64)</f>
        <v>64</v>
      </c>
    </row>
    <row r="10" spans="1:19">
      <c r="A10" s="46" t="str">
        <f ca="1">IFERROR(__xludf.DUMMYFUNCTION("""COMPUTED_VALUE"""),"NACIMIENTOS")</f>
        <v>NACIMIENTOS</v>
      </c>
      <c r="B10" s="46">
        <f ca="1">IFERROR(__xludf.DUMMYFUNCTION("""COMPUTED_VALUE"""),1100)</f>
        <v>1100</v>
      </c>
      <c r="C10" s="46" t="str">
        <f ca="1">IFERROR(__xludf.DUMMYFUNCTION("""COMPUTED_VALUE"""),"NACIMIENTOS")</f>
        <v>NACIMIENTOS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8">
        <f ca="1">IFERROR(__xludf.DUMMYFUNCTION("""COMPUTED_VALUE"""),99.7272727272727)</f>
        <v>99.727272727272705</v>
      </c>
      <c r="G10" s="48">
        <f ca="1">IFERROR(__xludf.DUMMYFUNCTION("""COMPUTED_VALUE"""),68)</f>
        <v>68</v>
      </c>
      <c r="H10" s="48">
        <f ca="1">IFERROR(__xludf.DUMMYFUNCTION("""COMPUTED_VALUE"""),85)</f>
        <v>85</v>
      </c>
      <c r="I10" s="48">
        <f ca="1">IFERROR(__xludf.DUMMYFUNCTION("""COMPUTED_VALUE"""),91)</f>
        <v>91</v>
      </c>
      <c r="J10" s="48">
        <f ca="1">IFERROR(__xludf.DUMMYFUNCTION("""COMPUTED_VALUE"""),82)</f>
        <v>82</v>
      </c>
      <c r="K10" s="48">
        <f ca="1">IFERROR(__xludf.DUMMYFUNCTION("""COMPUTED_VALUE"""),74)</f>
        <v>74</v>
      </c>
      <c r="L10" s="48">
        <f ca="1">IFERROR(__xludf.DUMMYFUNCTION("""COMPUTED_VALUE"""),68)</f>
        <v>68</v>
      </c>
      <c r="M10" s="48">
        <f ca="1">IFERROR(__xludf.DUMMYFUNCTION("""COMPUTED_VALUE"""),110)</f>
        <v>110</v>
      </c>
      <c r="N10" s="48">
        <f ca="1">IFERROR(__xludf.DUMMYFUNCTION("""COMPUTED_VALUE"""),102)</f>
        <v>102</v>
      </c>
      <c r="O10" s="48">
        <f ca="1">IFERROR(__xludf.DUMMYFUNCTION("""COMPUTED_VALUE"""),125)</f>
        <v>125</v>
      </c>
      <c r="P10" s="48">
        <f ca="1">IFERROR(__xludf.DUMMYFUNCTION("""COMPUTED_VALUE"""),178)</f>
        <v>178</v>
      </c>
      <c r="Q10" s="48">
        <f ca="1">IFERROR(__xludf.DUMMYFUNCTION("""COMPUTED_VALUE"""),72)</f>
        <v>72</v>
      </c>
      <c r="R10" s="48">
        <f ca="1">IFERROR(__xludf.DUMMYFUNCTION("""COMPUTED_VALUE"""),42)</f>
        <v>42</v>
      </c>
      <c r="S10" s="48">
        <f ca="1">IFERROR(__xludf.DUMMYFUNCTION("""COMPUTED_VALUE"""),1097)</f>
        <v>1097</v>
      </c>
    </row>
    <row r="11" spans="1:19">
      <c r="A11" s="46" t="str">
        <f ca="1">IFERROR(__xludf.DUMMYFUNCTION("""COMPUTED_VALUE"""),"DEFUNCIONES")</f>
        <v>DEFUNCIONES</v>
      </c>
      <c r="B11" s="46">
        <f ca="1">IFERROR(__xludf.DUMMYFUNCTION("""COMPUTED_VALUE"""),980)</f>
        <v>980</v>
      </c>
      <c r="C11" s="46" t="str">
        <f ca="1">IFERROR(__xludf.DUMMYFUNCTION("""COMPUTED_VALUE"""),"DEFUNCIONES")</f>
        <v>DEFUNCIONES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8">
        <f ca="1">IFERROR(__xludf.DUMMYFUNCTION("""COMPUTED_VALUE"""),87.1698113207547)</f>
        <v>87.169811320754704</v>
      </c>
      <c r="G11" s="48">
        <f ca="1">IFERROR(__xludf.DUMMYFUNCTION("""COMPUTED_VALUE"""),42)</f>
        <v>42</v>
      </c>
      <c r="H11" s="48">
        <f ca="1">IFERROR(__xludf.DUMMYFUNCTION("""COMPUTED_VALUE"""),58)</f>
        <v>58</v>
      </c>
      <c r="I11" s="48">
        <f ca="1">IFERROR(__xludf.DUMMYFUNCTION("""COMPUTED_VALUE"""),57)</f>
        <v>57</v>
      </c>
      <c r="J11" s="48">
        <f ca="1">IFERROR(__xludf.DUMMYFUNCTION("""COMPUTED_VALUE"""),62)</f>
        <v>62</v>
      </c>
      <c r="K11" s="48">
        <f ca="1">IFERROR(__xludf.DUMMYFUNCTION("""COMPUTED_VALUE"""),57)</f>
        <v>57</v>
      </c>
      <c r="L11" s="48">
        <f ca="1">IFERROR(__xludf.DUMMYFUNCTION("""COMPUTED_VALUE"""),35)</f>
        <v>35</v>
      </c>
      <c r="M11" s="48">
        <f ca="1">IFERROR(__xludf.DUMMYFUNCTION("""COMPUTED_VALUE"""),28)</f>
        <v>28</v>
      </c>
      <c r="N11" s="48">
        <f ca="1">IFERROR(__xludf.DUMMYFUNCTION("""COMPUTED_VALUE"""),25)</f>
        <v>25</v>
      </c>
      <c r="O11" s="48">
        <f ca="1">IFERROR(__xludf.DUMMYFUNCTION("""COMPUTED_VALUE"""),20)</f>
        <v>20</v>
      </c>
      <c r="P11" s="48">
        <f ca="1">IFERROR(__xludf.DUMMYFUNCTION("""COMPUTED_VALUE"""),28)</f>
        <v>28</v>
      </c>
      <c r="Q11" s="48">
        <f ca="1">IFERROR(__xludf.DUMMYFUNCTION("""COMPUTED_VALUE"""),25)</f>
        <v>25</v>
      </c>
      <c r="R11" s="48">
        <f ca="1">IFERROR(__xludf.DUMMYFUNCTION("""COMPUTED_VALUE"""),25)</f>
        <v>25</v>
      </c>
      <c r="S11" s="48">
        <f ca="1">IFERROR(__xludf.DUMMYFUNCTION("""COMPUTED_VALUE"""),462)</f>
        <v>462</v>
      </c>
    </row>
    <row r="12" spans="1:19">
      <c r="A12" s="46" t="str">
        <f ca="1">IFERROR(__xludf.DUMMYFUNCTION("""COMPUTED_VALUE"""),"DIVORCIOS")</f>
        <v>DIVORCIOS</v>
      </c>
      <c r="B12" s="46">
        <f ca="1">IFERROR(__xludf.DUMMYFUNCTION("""COMPUTED_VALUE"""),70)</f>
        <v>70</v>
      </c>
      <c r="C12" s="46" t="str">
        <f ca="1">IFERROR(__xludf.DUMMYFUNCTION("""COMPUTED_VALUE"""),"DIVORCIOS")</f>
        <v>DIVORCIOS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8">
        <f ca="1">IFERROR(__xludf.DUMMYFUNCTION("""COMPUTED_VALUE"""),121.739130434782)</f>
        <v>121.739130434782</v>
      </c>
      <c r="G12" s="48">
        <f ca="1">IFERROR(__xludf.DUMMYFUNCTION("""COMPUTED_VALUE"""),12)</f>
        <v>12</v>
      </c>
      <c r="H12" s="48">
        <f ca="1">IFERROR(__xludf.DUMMYFUNCTION("""COMPUTED_VALUE"""),7)</f>
        <v>7</v>
      </c>
      <c r="I12" s="48">
        <f ca="1">IFERROR(__xludf.DUMMYFUNCTION("""COMPUTED_VALUE"""),11)</f>
        <v>11</v>
      </c>
      <c r="J12" s="48">
        <f ca="1">IFERROR(__xludf.DUMMYFUNCTION("""COMPUTED_VALUE"""),9)</f>
        <v>9</v>
      </c>
      <c r="K12" s="48">
        <f ca="1">IFERROR(__xludf.DUMMYFUNCTION("""COMPUTED_VALUE"""),11)</f>
        <v>11</v>
      </c>
      <c r="L12" s="48">
        <f ca="1">IFERROR(__xludf.DUMMYFUNCTION("""COMPUTED_VALUE"""),7)</f>
        <v>7</v>
      </c>
      <c r="M12" s="48">
        <f ca="1">IFERROR(__xludf.DUMMYFUNCTION("""COMPUTED_VALUE"""),8)</f>
        <v>8</v>
      </c>
      <c r="N12" s="48">
        <f ca="1">IFERROR(__xludf.DUMMYFUNCTION("""COMPUTED_VALUE"""),9)</f>
        <v>9</v>
      </c>
      <c r="O12" s="48">
        <f ca="1">IFERROR(__xludf.DUMMYFUNCTION("""COMPUTED_VALUE"""),5)</f>
        <v>5</v>
      </c>
      <c r="P12" s="48">
        <f ca="1">IFERROR(__xludf.DUMMYFUNCTION("""COMPUTED_VALUE"""),11)</f>
        <v>11</v>
      </c>
      <c r="Q12" s="48">
        <f ca="1">IFERROR(__xludf.DUMMYFUNCTION("""COMPUTED_VALUE"""),11)</f>
        <v>11</v>
      </c>
      <c r="R12" s="48">
        <f ca="1">IFERROR(__xludf.DUMMYFUNCTION("""COMPUTED_VALUE"""),11)</f>
        <v>11</v>
      </c>
      <c r="S12" s="48">
        <f ca="1">IFERROR(__xludf.DUMMYFUNCTION("""COMPUTED_VALUE"""),112)</f>
        <v>112</v>
      </c>
    </row>
    <row r="13" spans="1:19">
      <c r="A13" s="46" t="str">
        <f ca="1">IFERROR(__xludf.DUMMYFUNCTION("""COMPUTED_VALUE"""),"MATRIMONIO")</f>
        <v>MATRIMONIO</v>
      </c>
      <c r="B13" s="46">
        <f ca="1">IFERROR(__xludf.DUMMYFUNCTION("""COMPUTED_VALUE"""),80)</f>
        <v>80</v>
      </c>
      <c r="C13" s="46" t="str">
        <f ca="1">IFERROR(__xludf.DUMMYFUNCTION("""COMPUTED_VALUE"""),"MATRIONIOS")</f>
        <v>MATRIONIOS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8">
        <f ca="1">IFERROR(__xludf.DUMMYFUNCTION("""COMPUTED_VALUE"""),124.444444444444)</f>
        <v>124.444444444444</v>
      </c>
      <c r="G13" s="48">
        <f ca="1">IFERROR(__xludf.DUMMYFUNCTION("""COMPUTED_VALUE"""),17)</f>
        <v>17</v>
      </c>
      <c r="H13" s="48">
        <f ca="1">IFERROR(__xludf.DUMMYFUNCTION("""COMPUTED_VALUE"""),23)</f>
        <v>23</v>
      </c>
      <c r="I13" s="48">
        <f ca="1">IFERROR(__xludf.DUMMYFUNCTION("""COMPUTED_VALUE"""),16)</f>
        <v>16</v>
      </c>
      <c r="J13" s="48">
        <f ca="1">IFERROR(__xludf.DUMMYFUNCTION("""COMPUTED_VALUE"""),19)</f>
        <v>19</v>
      </c>
      <c r="K13" s="48">
        <f ca="1">IFERROR(__xludf.DUMMYFUNCTION("""COMPUTED_VALUE"""),17)</f>
        <v>17</v>
      </c>
      <c r="L13" s="48">
        <f ca="1">IFERROR(__xludf.DUMMYFUNCTION("""COMPUTED_VALUE"""),18)</f>
        <v>18</v>
      </c>
      <c r="M13" s="48">
        <f ca="1">IFERROR(__xludf.DUMMYFUNCTION("""COMPUTED_VALUE"""),17)</f>
        <v>17</v>
      </c>
      <c r="N13" s="48">
        <f ca="1">IFERROR(__xludf.DUMMYFUNCTION("""COMPUTED_VALUE"""),37)</f>
        <v>37</v>
      </c>
      <c r="O13" s="48">
        <f ca="1">IFERROR(__xludf.DUMMYFUNCTION("""COMPUTED_VALUE"""),13)</f>
        <v>13</v>
      </c>
      <c r="P13" s="48">
        <f ca="1">IFERROR(__xludf.DUMMYFUNCTION("""COMPUTED_VALUE"""),33)</f>
        <v>33</v>
      </c>
      <c r="Q13" s="48">
        <f ca="1">IFERROR(__xludf.DUMMYFUNCTION("""COMPUTED_VALUE"""),14)</f>
        <v>14</v>
      </c>
      <c r="R13" s="48">
        <f ca="1">IFERROR(__xludf.DUMMYFUNCTION("""COMPUTED_VALUE"""),0)</f>
        <v>0</v>
      </c>
      <c r="S13" s="48">
        <f ca="1">IFERROR(__xludf.DUMMYFUNCTION("""COMPUTED_VALUE"""),224)</f>
        <v>224</v>
      </c>
    </row>
    <row r="14" spans="1:19">
      <c r="A14" s="46" t="str">
        <f ca="1">IFERROR(__xludf.DUMMYFUNCTION("""COMPUTED_VALUE"""),"ACLARACIONES")</f>
        <v>ACLARACIONES</v>
      </c>
      <c r="B14" s="46">
        <f ca="1">IFERROR(__xludf.DUMMYFUNCTION("""COMPUTED_VALUE"""),30)</f>
        <v>30</v>
      </c>
      <c r="C14" s="46" t="str">
        <f ca="1">IFERROR(__xludf.DUMMYFUNCTION("""COMPUTED_VALUE"""),"ACLARACIONES")</f>
        <v>ACLARACIONES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8">
        <f ca="1">IFERROR(__xludf.DUMMYFUNCTION("""COMPUTED_VALUE"""),127.906976744186)</f>
        <v>127.906976744186</v>
      </c>
      <c r="G14" s="48">
        <f ca="1">IFERROR(__xludf.DUMMYFUNCTION("""COMPUTED_VALUE"""),26)</f>
        <v>26</v>
      </c>
      <c r="H14" s="48">
        <f ca="1">IFERROR(__xludf.DUMMYFUNCTION("""COMPUTED_VALUE"""),18)</f>
        <v>18</v>
      </c>
      <c r="I14" s="48">
        <f ca="1">IFERROR(__xludf.DUMMYFUNCTION("""COMPUTED_VALUE"""),16)</f>
        <v>16</v>
      </c>
      <c r="J14" s="48">
        <f ca="1">IFERROR(__xludf.DUMMYFUNCTION("""COMPUTED_VALUE"""),18)</f>
        <v>18</v>
      </c>
      <c r="K14" s="48">
        <f ca="1">IFERROR(__xludf.DUMMYFUNCTION("""COMPUTED_VALUE"""),11)</f>
        <v>11</v>
      </c>
      <c r="L14" s="48">
        <f ca="1">IFERROR(__xludf.DUMMYFUNCTION("""COMPUTED_VALUE"""),9)</f>
        <v>9</v>
      </c>
      <c r="M14" s="48">
        <f ca="1">IFERROR(__xludf.DUMMYFUNCTION("""COMPUTED_VALUE"""),8)</f>
        <v>8</v>
      </c>
      <c r="N14" s="48">
        <f ca="1">IFERROR(__xludf.DUMMYFUNCTION("""COMPUTED_VALUE"""),9)</f>
        <v>9</v>
      </c>
      <c r="O14" s="48">
        <f ca="1">IFERROR(__xludf.DUMMYFUNCTION("""COMPUTED_VALUE"""),9)</f>
        <v>9</v>
      </c>
      <c r="P14" s="48">
        <f ca="1">IFERROR(__xludf.DUMMYFUNCTION("""COMPUTED_VALUE"""),12)</f>
        <v>12</v>
      </c>
      <c r="Q14" s="48">
        <f ca="1">IFERROR(__xludf.DUMMYFUNCTION("""COMPUTED_VALUE"""),18)</f>
        <v>18</v>
      </c>
      <c r="R14" s="48">
        <f ca="1">IFERROR(__xludf.DUMMYFUNCTION("""COMPUTED_VALUE"""),11)</f>
        <v>11</v>
      </c>
      <c r="S14" s="48">
        <f ca="1">IFERROR(__xludf.DUMMYFUNCTION("""COMPUTED_VALUE"""),165)</f>
        <v>165</v>
      </c>
    </row>
    <row r="15" spans="1:19">
      <c r="A15" s="46" t="str">
        <f ca="1">IFERROR(__xludf.DUMMYFUNCTION("""COMPUTED_VALUE"""),"CONSTANCIAS")</f>
        <v>CONSTANCIAS</v>
      </c>
      <c r="B15" s="46">
        <f ca="1">IFERROR(__xludf.DUMMYFUNCTION("""COMPUTED_VALUE"""),400)</f>
        <v>400</v>
      </c>
      <c r="C15" s="46" t="str">
        <f ca="1">IFERROR(__xludf.DUMMYFUNCTION("""COMPUTED_VALUE"""),"CONSTANCIAS")</f>
        <v>CONSTANCIAS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8">
        <f ca="1">IFERROR(__xludf.DUMMYFUNCTION("""COMPUTED_VALUE"""),89.5522388059701)</f>
        <v>89.552238805970106</v>
      </c>
      <c r="G15" s="48">
        <f ca="1">IFERROR(__xludf.DUMMYFUNCTION("""COMPUTED_VALUE"""),2)</f>
        <v>2</v>
      </c>
      <c r="H15" s="48">
        <f ca="1">IFERROR(__xludf.DUMMYFUNCTION("""COMPUTED_VALUE"""),3)</f>
        <v>3</v>
      </c>
      <c r="I15" s="48">
        <f ca="1">IFERROR(__xludf.DUMMYFUNCTION("""COMPUTED_VALUE"""),1)</f>
        <v>1</v>
      </c>
      <c r="J15" s="48">
        <f ca="1">IFERROR(__xludf.DUMMYFUNCTION("""COMPUTED_VALUE"""),5)</f>
        <v>5</v>
      </c>
      <c r="K15" s="48">
        <f ca="1">IFERROR(__xludf.DUMMYFUNCTION("""COMPUTED_VALUE"""),5)</f>
        <v>5</v>
      </c>
      <c r="L15" s="48">
        <f ca="1">IFERROR(__xludf.DUMMYFUNCTION("""COMPUTED_VALUE"""),5)</f>
        <v>5</v>
      </c>
      <c r="M15" s="48">
        <f ca="1">IFERROR(__xludf.DUMMYFUNCTION("""COMPUTED_VALUE"""),28)</f>
        <v>28</v>
      </c>
      <c r="N15" s="48">
        <f ca="1">IFERROR(__xludf.DUMMYFUNCTION("""COMPUTED_VALUE"""),6)</f>
        <v>6</v>
      </c>
      <c r="O15" s="48">
        <f ca="1">IFERROR(__xludf.DUMMYFUNCTION("""COMPUTED_VALUE"""),4)</f>
        <v>4</v>
      </c>
      <c r="P15" s="48">
        <f ca="1">IFERROR(__xludf.DUMMYFUNCTION("""COMPUTED_VALUE"""),1)</f>
        <v>1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IFERROR(__xludf.DUMMYFUNCTION("""COMPUTED_VALUE"""),60)</f>
        <v>60</v>
      </c>
    </row>
    <row r="16" spans="1:19">
      <c r="A16" s="46" t="str">
        <f ca="1">IFERROR(__xludf.DUMMYFUNCTION("""COMPUTED_VALUE"""),"EXPEDICION DE ACTAS")</f>
        <v>EXPEDICION DE ACTAS</v>
      </c>
      <c r="B16" s="46">
        <f ca="1">IFERROR(__xludf.DUMMYFUNCTION("""COMPUTED_VALUE"""),900)</f>
        <v>900</v>
      </c>
      <c r="C16" s="46" t="str">
        <f ca="1">IFERROR(__xludf.DUMMYFUNCTION("""COMPUTED_VALUE"""),"ACTAS EXPEDIDAS")</f>
        <v>ACTAS EXPEDIDAS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8">
        <f ca="1">IFERROR(__xludf.DUMMYFUNCTION("""COMPUTED_VALUE"""),161.371428571428)</f>
        <v>161.371428571428</v>
      </c>
      <c r="G16" s="48">
        <f ca="1">IFERROR(__xludf.DUMMYFUNCTION("""COMPUTED_VALUE"""),139)</f>
        <v>139</v>
      </c>
      <c r="H16" s="48">
        <f ca="1">IFERROR(__xludf.DUMMYFUNCTION("""COMPUTED_VALUE"""),173)</f>
        <v>173</v>
      </c>
      <c r="I16" s="48">
        <f ca="1">IFERROR(__xludf.DUMMYFUNCTION("""COMPUTED_VALUE"""),175)</f>
        <v>175</v>
      </c>
      <c r="J16" s="48">
        <f ca="1">IFERROR(__xludf.DUMMYFUNCTION("""COMPUTED_VALUE"""),318)</f>
        <v>318</v>
      </c>
      <c r="K16" s="48">
        <f ca="1">IFERROR(__xludf.DUMMYFUNCTION("""COMPUTED_VALUE"""),302)</f>
        <v>302</v>
      </c>
      <c r="L16" s="48">
        <f ca="1">IFERROR(__xludf.DUMMYFUNCTION("""COMPUTED_VALUE"""),283)</f>
        <v>283</v>
      </c>
      <c r="M16" s="48">
        <f ca="1">IFERROR(__xludf.DUMMYFUNCTION("""COMPUTED_VALUE"""),2042)</f>
        <v>2042</v>
      </c>
      <c r="N16" s="48">
        <f ca="1">IFERROR(__xludf.DUMMYFUNCTION("""COMPUTED_VALUE"""),1365)</f>
        <v>1365</v>
      </c>
      <c r="O16" s="48">
        <f ca="1">IFERROR(__xludf.DUMMYFUNCTION("""COMPUTED_VALUE"""),1541)</f>
        <v>1541</v>
      </c>
      <c r="P16" s="48">
        <f ca="1">IFERROR(__xludf.DUMMYFUNCTION("""COMPUTED_VALUE"""),1822)</f>
        <v>1822</v>
      </c>
      <c r="Q16" s="48">
        <f ca="1">IFERROR(__xludf.DUMMYFUNCTION("""COMPUTED_VALUE"""),1441)</f>
        <v>1441</v>
      </c>
      <c r="R16" s="48">
        <f ca="1">IFERROR(__xludf.DUMMYFUNCTION("""COMPUTED_VALUE"""),1695)</f>
        <v>1695</v>
      </c>
      <c r="S16" s="48">
        <f ca="1">IFERROR(__xludf.DUMMYFUNCTION("""COMPUTED_VALUE"""),11296)</f>
        <v>11296</v>
      </c>
    </row>
    <row r="17" spans="1:19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</row>
    <row r="18" spans="1:19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</row>
    <row r="19" spans="1:19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cols>
    <col min="1" max="1" width="23" customWidth="1"/>
  </cols>
  <sheetData>
    <row r="1" spans="1:19">
      <c r="A1" s="46" t="str">
        <f ca="1">IFERROR(__xludf.DUMMYFUNCTION("IMPORTRANGE(""https://docs.google.com/spreadsheets/d/10IqGK8hPttXMfMGKFeSIUOsu5FYmsc1T33xvKX4SQDw/edit?gid=1688469650#gid=1688469650"",""02!A1:S"")"),"INDICADORES")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IFERROR(__xludf.DUMMYFUNCTION("""COMPUTED_VALUE"""),"SESIONES DE AYUNTAMIENTO")</f>
        <v>SESIONES DE AYUNTAMIENTO</v>
      </c>
      <c r="B2" s="46">
        <f ca="1">IFERROR(__xludf.DUMMYFUNCTION("""COMPUTED_VALUE"""),15)</f>
        <v>15</v>
      </c>
      <c r="C2" s="46" t="str">
        <f ca="1">IFERROR(__xludf.DUMMYFUNCTION("""COMPUTED_VALUE"""),"SESIONES")</f>
        <v>SESIONES</v>
      </c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8">
        <f ca="1">IFERROR(__xludf.DUMMYFUNCTION("""COMPUTED_VALUE"""),13.3333333333333)</f>
        <v>13.3333333333333</v>
      </c>
      <c r="G2" s="48">
        <f ca="1">IFERROR(__xludf.DUMMYFUNCTION("""COMPUTED_VALUE"""),1)</f>
        <v>1</v>
      </c>
      <c r="H2" s="48">
        <f ca="1">IFERROR(__xludf.DUMMYFUNCTION("""COMPUTED_VALUE"""),1)</f>
        <v>1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IFERROR(__xludf.DUMMYFUNCTION("""COMPUTED_VALUE"""),2)</f>
        <v>2</v>
      </c>
    </row>
    <row r="3" spans="1:19">
      <c r="A3" s="46" t="str">
        <f ca="1">IFERROR(__xludf.DUMMYFUNCTION("""COMPUTED_VALUE"""),"CONSTANCIAS")</f>
        <v>CONSTANCIAS</v>
      </c>
      <c r="B3" s="46">
        <f ca="1">IFERROR(__xludf.DUMMYFUNCTION("""COMPUTED_VALUE"""),1200)</f>
        <v>1200</v>
      </c>
      <c r="C3" s="46" t="str">
        <f ca="1">IFERROR(__xludf.DUMMYFUNCTION("""COMPUTED_VALUE"""),"CONSTANCIAS")</f>
        <v>CONSTANCIAS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8">
        <f ca="1">IFERROR(__xludf.DUMMYFUNCTION("""COMPUTED_VALUE"""),18)</f>
        <v>18</v>
      </c>
      <c r="G3" s="48">
        <f ca="1">IFERROR(__xludf.DUMMYFUNCTION("""COMPUTED_VALUE"""),103)</f>
        <v>103</v>
      </c>
      <c r="H3" s="48">
        <f ca="1">IFERROR(__xludf.DUMMYFUNCTION("""COMPUTED_VALUE"""),113)</f>
        <v>113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IFERROR(__xludf.DUMMYFUNCTION("""COMPUTED_VALUE"""),216)</f>
        <v>216</v>
      </c>
    </row>
    <row r="4" spans="1:19">
      <c r="A4" s="46" t="str">
        <f ca="1">IFERROR(__xludf.DUMMYFUNCTION("""COMPUTED_VALUE"""),"TRAMITES DE CARTILLA")</f>
        <v>TRAMITES DE CARTILLA</v>
      </c>
      <c r="B4" s="46">
        <f ca="1">IFERROR(__xludf.DUMMYFUNCTION("""COMPUTED_VALUE"""),80)</f>
        <v>80</v>
      </c>
      <c r="C4" s="46" t="str">
        <f ca="1">IFERROR(__xludf.DUMMYFUNCTION("""COMPUTED_VALUE"""),"PRECARTILLAS ")</f>
        <v xml:space="preserve">PRECARTILLAS 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8">
        <f ca="1">IFERROR(__xludf.DUMMYFUNCTION("""COMPUTED_VALUE"""),7.5)</f>
        <v>7.5</v>
      </c>
      <c r="G4" s="48">
        <f ca="1">IFERROR(__xludf.DUMMYFUNCTION("""COMPUTED_VALUE"""),6)</f>
        <v>6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IFERROR(__xludf.DUMMYFUNCTION("""COMPUTED_VALUE"""),6)</f>
        <v>6</v>
      </c>
    </row>
    <row r="5" spans="1:19">
      <c r="A5" s="46" t="str">
        <f ca="1">IFERROR(__xludf.DUMMYFUNCTION("""COMPUTED_VALUE"""),"TITULOS DE CONCESION")</f>
        <v>TITULOS DE CONCESION</v>
      </c>
      <c r="B5" s="46">
        <f ca="1">IFERROR(__xludf.DUMMYFUNCTION("""COMPUTED_VALUE"""),15)</f>
        <v>15</v>
      </c>
      <c r="C5" s="46" t="str">
        <f ca="1">IFERROR(__xludf.DUMMYFUNCTION("""COMPUTED_VALUE"""),"TITULOS")</f>
        <v>TITULOS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8">
        <f ca="1">IFERROR(__xludf.DUMMYFUNCTION("""COMPUTED_VALUE"""),126.666666666666)</f>
        <v>126.666666666666</v>
      </c>
      <c r="G5" s="48">
        <f ca="1">IFERROR(__xludf.DUMMYFUNCTION("""COMPUTED_VALUE"""),10)</f>
        <v>10</v>
      </c>
      <c r="H5" s="48">
        <f ca="1">IFERROR(__xludf.DUMMYFUNCTION("""COMPUTED_VALUE"""),9)</f>
        <v>9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IFERROR(__xludf.DUMMYFUNCTION("""COMPUTED_VALUE"""),19)</f>
        <v>19</v>
      </c>
    </row>
    <row r="6" spans="1:19">
      <c r="A6" s="46" t="str">
        <f ca="1">IFERROR(__xludf.DUMMYFUNCTION("""COMPUTED_VALUE"""),"EXHUMACIONES")</f>
        <v>EXHUMACIONES</v>
      </c>
      <c r="B6" s="46">
        <f ca="1">IFERROR(__xludf.DUMMYFUNCTION("""COMPUTED_VALUE"""),30)</f>
        <v>30</v>
      </c>
      <c r="C6" s="46" t="str">
        <f ca="1">IFERROR(__xludf.DUMMYFUNCTION("""COMPUTED_VALUE"""),"EXHUMACIONES")</f>
        <v>EXHUMACIONES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8">
        <f ca="1">IFERROR(__xludf.DUMMYFUNCTION("""COMPUTED_VALUE"""),46.6666666666666)</f>
        <v>46.6666666666666</v>
      </c>
      <c r="G6" s="48">
        <f ca="1">IFERROR(__xludf.DUMMYFUNCTION("""COMPUTED_VALUE"""),9)</f>
        <v>9</v>
      </c>
      <c r="H6" s="48">
        <f ca="1">IFERROR(__xludf.DUMMYFUNCTION("""COMPUTED_VALUE"""),5)</f>
        <v>5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IFERROR(__xludf.DUMMYFUNCTION("""COMPUTED_VALUE"""),14)</f>
        <v>14</v>
      </c>
    </row>
    <row r="7" spans="1:19">
      <c r="A7" s="46" t="str">
        <f ca="1">IFERROR(__xludf.DUMMYFUNCTION("""COMPUTED_VALUE"""),"CAMBIOS DE PROPIETARIO")</f>
        <v>CAMBIOS DE PROPIETARIO</v>
      </c>
      <c r="B7" s="46">
        <f ca="1">IFERROR(__xludf.DUMMYFUNCTION("""COMPUTED_VALUE"""),12)</f>
        <v>12</v>
      </c>
      <c r="C7" s="46" t="str">
        <f ca="1">IFERROR(__xludf.DUMMYFUNCTION("""COMPUTED_VALUE"""),"CAMBIOS")</f>
        <v>CAMBIOS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8">
        <f ca="1">IFERROR(__xludf.DUMMYFUNCTION("""COMPUTED_VALUE"""),33.3333333333333)</f>
        <v>33.3333333333333</v>
      </c>
      <c r="G7" s="48">
        <f ca="1">IFERROR(__xludf.DUMMYFUNCTION("""COMPUTED_VALUE"""),2)</f>
        <v>2</v>
      </c>
      <c r="H7" s="48">
        <f ca="1">IFERROR(__xludf.DUMMYFUNCTION("""COMPUTED_VALUE"""),2)</f>
        <v>2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IFERROR(__xludf.DUMMYFUNCTION("""COMPUTED_VALUE"""),4)</f>
        <v>4</v>
      </c>
    </row>
    <row r="8" spans="1:19">
      <c r="A8" s="46" t="str">
        <f ca="1">IFERROR(__xludf.DUMMYFUNCTION("""COMPUTED_VALUE"""),"MANTENIMIENTO DE FOSA")</f>
        <v>MANTENIMIENTO DE FOSA</v>
      </c>
      <c r="B8" s="46">
        <f ca="1">IFERROR(__xludf.DUMMYFUNCTION("""COMPUTED_VALUE"""),520)</f>
        <v>520</v>
      </c>
      <c r="C8" s="46" t="str">
        <f ca="1">IFERROR(__xludf.DUMMYFUNCTION("""COMPUTED_VALUE"""),"MANTENIMIENTOS")</f>
        <v>MANTENIMIENTOS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8">
        <f ca="1">IFERROR(__xludf.DUMMYFUNCTION("""COMPUTED_VALUE"""),9.23076923076923)</f>
        <v>9.2307692307692299</v>
      </c>
      <c r="G8" s="48">
        <f ca="1">IFERROR(__xludf.DUMMYFUNCTION("""COMPUTED_VALUE"""),34)</f>
        <v>34</v>
      </c>
      <c r="H8" s="48">
        <f ca="1">IFERROR(__xludf.DUMMYFUNCTION("""COMPUTED_VALUE"""),14)</f>
        <v>14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IFERROR(__xludf.DUMMYFUNCTION("""COMPUTED_VALUE"""),48)</f>
        <v>48</v>
      </c>
    </row>
    <row r="9" spans="1:19">
      <c r="A9" s="46" t="str">
        <f ca="1">IFERROR(__xludf.DUMMYFUNCTION("""COMPUTED_VALUE"""),"TRAMITE DE REGULARIZACION")</f>
        <v>TRAMITE DE REGULARIZACION</v>
      </c>
      <c r="B9" s="46">
        <f ca="1">IFERROR(__xludf.DUMMYFUNCTION("""COMPUTED_VALUE"""),500)</f>
        <v>500</v>
      </c>
      <c r="C9" s="46" t="str">
        <f ca="1">IFERROR(__xludf.DUMMYFUNCTION("""COMPUTED_VALUE"""),"TRAMITES REALIZADOS")</f>
        <v>TRAMITES REALIZADOS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8">
        <f ca="1">IFERROR(__xludf.DUMMYFUNCTION("""COMPUTED_VALUE"""),1)</f>
        <v>1</v>
      </c>
      <c r="G9" s="48">
        <f ca="1">IFERROR(__xludf.DUMMYFUNCTION("""COMPUTED_VALUE"""),5)</f>
        <v>5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IFERROR(__xludf.DUMMYFUNCTION("""COMPUTED_VALUE"""),5)</f>
        <v>5</v>
      </c>
    </row>
    <row r="10" spans="1:19">
      <c r="A10" s="46" t="str">
        <f ca="1">IFERROR(__xludf.DUMMYFUNCTION("""COMPUTED_VALUE"""),"NACIMIENTOS")</f>
        <v>NACIMIENTOS</v>
      </c>
      <c r="B10" s="46">
        <f ca="1">IFERROR(__xludf.DUMMYFUNCTION("""COMPUTED_VALUE"""),1100)</f>
        <v>1100</v>
      </c>
      <c r="C10" s="46" t="str">
        <f ca="1">IFERROR(__xludf.DUMMYFUNCTION("""COMPUTED_VALUE"""),"NACIMIENTOS")</f>
        <v>NACIMIENTOS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8">
        <f ca="1">IFERROR(__xludf.DUMMYFUNCTION("""COMPUTED_VALUE"""),15.7272727272727)</f>
        <v>15.7272727272727</v>
      </c>
      <c r="G10" s="48">
        <f ca="1">IFERROR(__xludf.DUMMYFUNCTION("""COMPUTED_VALUE"""),96)</f>
        <v>96</v>
      </c>
      <c r="H10" s="48">
        <f ca="1">IFERROR(__xludf.DUMMYFUNCTION("""COMPUTED_VALUE"""),77)</f>
        <v>77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IFERROR(__xludf.DUMMYFUNCTION("""COMPUTED_VALUE"""),173)</f>
        <v>173</v>
      </c>
    </row>
    <row r="11" spans="1:19">
      <c r="A11" s="46" t="str">
        <f ca="1">IFERROR(__xludf.DUMMYFUNCTION("""COMPUTED_VALUE"""),"DEFUNCIONES")</f>
        <v>DEFUNCIONES</v>
      </c>
      <c r="B11" s="46">
        <f ca="1">IFERROR(__xludf.DUMMYFUNCTION("""COMPUTED_VALUE"""),980)</f>
        <v>980</v>
      </c>
      <c r="C11" s="46" t="str">
        <f ca="1">IFERROR(__xludf.DUMMYFUNCTION("""COMPUTED_VALUE"""),"DEFUNCIONES")</f>
        <v>DEFUNCIONES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8">
        <f ca="1">IFERROR(__xludf.DUMMYFUNCTION("""COMPUTED_VALUE"""),5.30612244897959)</f>
        <v>5.3061224489795897</v>
      </c>
      <c r="G11" s="48">
        <f ca="1">IFERROR(__xludf.DUMMYFUNCTION("""COMPUTED_VALUE"""),26)</f>
        <v>26</v>
      </c>
      <c r="H11" s="48">
        <f ca="1">IFERROR(__xludf.DUMMYFUNCTION("""COMPUTED_VALUE"""),26)</f>
        <v>26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IFERROR(__xludf.DUMMYFUNCTION("""COMPUTED_VALUE"""),52)</f>
        <v>52</v>
      </c>
    </row>
    <row r="12" spans="1:19">
      <c r="A12" s="46" t="str">
        <f ca="1">IFERROR(__xludf.DUMMYFUNCTION("""COMPUTED_VALUE"""),"DIVORCIOS")</f>
        <v>DIVORCIOS</v>
      </c>
      <c r="B12" s="46">
        <f ca="1">IFERROR(__xludf.DUMMYFUNCTION("""COMPUTED_VALUE"""),70)</f>
        <v>70</v>
      </c>
      <c r="C12" s="46" t="str">
        <f ca="1">IFERROR(__xludf.DUMMYFUNCTION("""COMPUTED_VALUE"""),"DIVORCIOS")</f>
        <v>DIVORCIOS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8">
        <f ca="1">IFERROR(__xludf.DUMMYFUNCTION("""COMPUTED_VALUE"""),27.1428571428571)</f>
        <v>27.1428571428571</v>
      </c>
      <c r="G12" s="48">
        <f ca="1">IFERROR(__xludf.DUMMYFUNCTION("""COMPUTED_VALUE"""),11)</f>
        <v>11</v>
      </c>
      <c r="H12" s="48">
        <f ca="1">IFERROR(__xludf.DUMMYFUNCTION("""COMPUTED_VALUE"""),8)</f>
        <v>8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IFERROR(__xludf.DUMMYFUNCTION("""COMPUTED_VALUE"""),19)</f>
        <v>19</v>
      </c>
    </row>
    <row r="13" spans="1:19">
      <c r="A13" s="46" t="str">
        <f ca="1">IFERROR(__xludf.DUMMYFUNCTION("""COMPUTED_VALUE"""),"MATRIMONIO")</f>
        <v>MATRIMONIO</v>
      </c>
      <c r="B13" s="46">
        <f ca="1">IFERROR(__xludf.DUMMYFUNCTION("""COMPUTED_VALUE"""),80)</f>
        <v>80</v>
      </c>
      <c r="C13" s="46" t="str">
        <f ca="1">IFERROR(__xludf.DUMMYFUNCTION("""COMPUTED_VALUE"""),"MATRIONIOS")</f>
        <v>MATRIONIOS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8">
        <f ca="1">IFERROR(__xludf.DUMMYFUNCTION("""COMPUTED_VALUE"""),25)</f>
        <v>25</v>
      </c>
      <c r="G13" s="48">
        <f ca="1">IFERROR(__xludf.DUMMYFUNCTION("""COMPUTED_VALUE"""),20)</f>
        <v>20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IFERROR(__xludf.DUMMYFUNCTION("""COMPUTED_VALUE"""),20)</f>
        <v>20</v>
      </c>
    </row>
    <row r="14" spans="1:19">
      <c r="A14" s="46" t="str">
        <f ca="1">IFERROR(__xludf.DUMMYFUNCTION("""COMPUTED_VALUE"""),"ACLARACIONES")</f>
        <v>ACLARACIONES</v>
      </c>
      <c r="B14" s="46">
        <f ca="1">IFERROR(__xludf.DUMMYFUNCTION("""COMPUTED_VALUE"""),30)</f>
        <v>30</v>
      </c>
      <c r="C14" s="46" t="str">
        <f ca="1">IFERROR(__xludf.DUMMYFUNCTION("""COMPUTED_VALUE"""),"ACLARACIONES")</f>
        <v>ACLARACIONES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8">
        <f ca="1">IFERROR(__xludf.DUMMYFUNCTION("""COMPUTED_VALUE"""),106.666666666666)</f>
        <v>106.666666666666</v>
      </c>
      <c r="G14" s="48">
        <f ca="1">IFERROR(__xludf.DUMMYFUNCTION("""COMPUTED_VALUE"""),16)</f>
        <v>16</v>
      </c>
      <c r="H14" s="48">
        <f ca="1">IFERROR(__xludf.DUMMYFUNCTION("""COMPUTED_VALUE"""),16)</f>
        <v>16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IFERROR(__xludf.DUMMYFUNCTION("""COMPUTED_VALUE"""),32)</f>
        <v>32</v>
      </c>
    </row>
    <row r="15" spans="1:19">
      <c r="A15" s="46" t="str">
        <f ca="1">IFERROR(__xludf.DUMMYFUNCTION("""COMPUTED_VALUE"""),"CONSTANCIAS")</f>
        <v>CONSTANCIAS</v>
      </c>
      <c r="B15" s="46">
        <f ca="1">IFERROR(__xludf.DUMMYFUNCTION("""COMPUTED_VALUE"""),400)</f>
        <v>400</v>
      </c>
      <c r="C15" s="46" t="str">
        <f ca="1">IFERROR(__xludf.DUMMYFUNCTION("""COMPUTED_VALUE"""),"CONSTANCIAS")</f>
        <v>CONSTANCIAS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8">
        <f ca="1">IFERROR(__xludf.DUMMYFUNCTION("""COMPUTED_VALUE"""),1.75)</f>
        <v>1.75</v>
      </c>
      <c r="G15" s="48">
        <f ca="1">IFERROR(__xludf.DUMMYFUNCTION("""COMPUTED_VALUE"""),5)</f>
        <v>5</v>
      </c>
      <c r="H15" s="48">
        <f ca="1">IFERROR(__xludf.DUMMYFUNCTION("""COMPUTED_VALUE"""),2)</f>
        <v>2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IFERROR(__xludf.DUMMYFUNCTION("""COMPUTED_VALUE"""),7)</f>
        <v>7</v>
      </c>
    </row>
    <row r="16" spans="1:19">
      <c r="A16" s="46" t="str">
        <f ca="1">IFERROR(__xludf.DUMMYFUNCTION("""COMPUTED_VALUE"""),"EXPEDICION DE ACTAS")</f>
        <v>EXPEDICION DE ACTAS</v>
      </c>
      <c r="B16" s="46">
        <f ca="1">IFERROR(__xludf.DUMMYFUNCTION("""COMPUTED_VALUE"""),900)</f>
        <v>900</v>
      </c>
      <c r="C16" s="46" t="str">
        <f ca="1">IFERROR(__xludf.DUMMYFUNCTION("""COMPUTED_VALUE"""),"ACTAS EXPEDIDAS")</f>
        <v>ACTAS EXPEDIDAS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8">
        <f ca="1">IFERROR(__xludf.DUMMYFUNCTION("""COMPUTED_VALUE"""),485.555555555555)</f>
        <v>485.55555555555497</v>
      </c>
      <c r="G16" s="48">
        <f ca="1">IFERROR(__xludf.DUMMYFUNCTION("""COMPUTED_VALUE"""),2510)</f>
        <v>2510</v>
      </c>
      <c r="H16" s="48">
        <f ca="1">IFERROR(__xludf.DUMMYFUNCTION("""COMPUTED_VALUE"""),1860)</f>
        <v>1860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IFERROR(__xludf.DUMMYFUNCTION("""COMPUTED_VALUE"""),4370)</f>
        <v>4370</v>
      </c>
    </row>
    <row r="17" spans="1:19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</row>
    <row r="18" spans="1:19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</row>
    <row r="19" spans="1:19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IFERROR(__xludf.DUMMYFUNCTION("IMPORTRANGE(""https://docs.google.com/spreadsheets/d/1fs0169odc5rWV8MF1AWBHsYabKTF4Al9BYbjt6nj_j0/edit?gid=850428700#gid=850428700"",""01!A1:S"")"),"INDICADORES")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IFERROR(__xludf.DUMMYFUNCTION("""COMPUTED_VALUE"""),"M2 DE SEÑALAMIENTOS HORIZONTALES")</f>
        <v>M2 DE SEÑALAMIENTOS HORIZONTALES</v>
      </c>
      <c r="B2" s="46">
        <f ca="1">IFERROR(__xludf.DUMMYFUNCTION("""COMPUTED_VALUE"""),50)</f>
        <v>50</v>
      </c>
      <c r="C2" s="46" t="str">
        <f ca="1">IFERROR(__xludf.DUMMYFUNCTION("""COMPUTED_VALUE"""),"M2 INTERVENIDOS")</f>
        <v>M2 INTERVENIDOS</v>
      </c>
      <c r="D2" s="46" t="str">
        <f ca="1">IFERROR(__xludf.DUMMYFUNCTION("""COMPUTED_VALUE"""),"ASCENDENTE")</f>
        <v>ASCENDENTE</v>
      </c>
      <c r="E2" s="46" t="str">
        <f ca="1">IFERROR(__xludf.DUMMYFUNCTION("""COMPUTED_VALUE"""),"BITACORA OPERATIVA")</f>
        <v>BITACORA OPERATIVA</v>
      </c>
      <c r="F2" s="48">
        <f ca="1">IFERROR(__xludf.DUMMYFUNCTION("""COMPUTED_VALUE"""),145.135135135135)</f>
        <v>145.13513513513499</v>
      </c>
      <c r="G2" s="48">
        <f ca="1">IFERROR(__xludf.DUMMYFUNCTION("""COMPUTED_VALUE"""),100)</f>
        <v>100</v>
      </c>
      <c r="H2" s="48">
        <f ca="1">IFERROR(__xludf.DUMMYFUNCTION("""COMPUTED_VALUE"""),150)</f>
        <v>150</v>
      </c>
      <c r="I2" s="48">
        <f ca="1">IFERROR(__xludf.DUMMYFUNCTION("""COMPUTED_VALUE"""),550)</f>
        <v>550</v>
      </c>
      <c r="J2" s="48">
        <f ca="1">IFERROR(__xludf.DUMMYFUNCTION("""COMPUTED_VALUE"""),350)</f>
        <v>350</v>
      </c>
      <c r="K2" s="48">
        <f ca="1">IFERROR(__xludf.DUMMYFUNCTION("""COMPUTED_VALUE"""),420)</f>
        <v>420</v>
      </c>
      <c r="L2" s="48">
        <f ca="1">IFERROR(__xludf.DUMMYFUNCTION("""COMPUTED_VALUE"""),50)</f>
        <v>50</v>
      </c>
      <c r="M2" s="48">
        <f ca="1">IFERROR(__xludf.DUMMYFUNCTION("""COMPUTED_VALUE"""),675)</f>
        <v>675</v>
      </c>
      <c r="N2" s="48">
        <f ca="1">IFERROR(__xludf.DUMMYFUNCTION("""COMPUTED_VALUE"""),675)</f>
        <v>675</v>
      </c>
      <c r="O2" s="48">
        <f ca="1">IFERROR(__xludf.DUMMYFUNCTION("""COMPUTED_VALUE"""),400)</f>
        <v>400</v>
      </c>
      <c r="P2" s="48">
        <f ca="1">IFERROR(__xludf.DUMMYFUNCTION("""COMPUTED_VALUE"""),1100)</f>
        <v>1100</v>
      </c>
      <c r="Q2" s="48">
        <f ca="1">IFERROR(__xludf.DUMMYFUNCTION("""COMPUTED_VALUE"""),580)</f>
        <v>580</v>
      </c>
      <c r="R2" s="48">
        <f ca="1">IFERROR(__xludf.DUMMYFUNCTION("""COMPUTED_VALUE"""),320)</f>
        <v>320</v>
      </c>
      <c r="S2" s="48">
        <f ca="1">IFERROR(__xludf.DUMMYFUNCTION("""COMPUTED_VALUE"""),5370)</f>
        <v>5370</v>
      </c>
    </row>
    <row r="3" spans="1:19">
      <c r="A3" s="46" t="str">
        <f ca="1">IFERROR(__xludf.DUMMYFUNCTION("""COMPUTED_VALUE"""),"NUMERO DE SEÑALAMIENTOS VERTICALES")</f>
        <v>NUMERO DE SEÑALAMIENTOS VERTICALES</v>
      </c>
      <c r="B3" s="46">
        <f ca="1">IFERROR(__xludf.DUMMYFUNCTION("""COMPUTED_VALUE"""),1200)</f>
        <v>1200</v>
      </c>
      <c r="C3" s="46" t="str">
        <f ca="1">IFERROR(__xludf.DUMMYFUNCTION("""COMPUTED_VALUE"""),"PIEZAS INSTALADAS")</f>
        <v>PIEZAS INSTALADAS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OPERATIVA")</f>
        <v>BITACORA OPERATIVA</v>
      </c>
      <c r="F3" s="48">
        <f ca="1">IFERROR(__xludf.DUMMYFUNCTION("""COMPUTED_VALUE"""),106.666666666666)</f>
        <v>106.666666666666</v>
      </c>
      <c r="G3" s="48">
        <f ca="1">IFERROR(__xludf.DUMMYFUNCTION("""COMPUTED_VALUE"""),5)</f>
        <v>5</v>
      </c>
      <c r="H3" s="48">
        <f ca="1">IFERROR(__xludf.DUMMYFUNCTION("""COMPUTED_VALUE"""),12)</f>
        <v>12</v>
      </c>
      <c r="I3" s="48">
        <f ca="1">IFERROR(__xludf.DUMMYFUNCTION("""COMPUTED_VALUE"""),18)</f>
        <v>18</v>
      </c>
      <c r="J3" s="48">
        <f ca="1">IFERROR(__xludf.DUMMYFUNCTION("""COMPUTED_VALUE"""),12)</f>
        <v>12</v>
      </c>
      <c r="K3" s="48">
        <f ca="1">IFERROR(__xludf.DUMMYFUNCTION("""COMPUTED_VALUE"""),17)</f>
        <v>17</v>
      </c>
      <c r="L3" s="48">
        <f ca="1">IFERROR(__xludf.DUMMYFUNCTION("""COMPUTED_VALUE"""),12)</f>
        <v>12</v>
      </c>
      <c r="M3" s="48">
        <f ca="1">IFERROR(__xludf.DUMMYFUNCTION("""COMPUTED_VALUE"""),18)</f>
        <v>18</v>
      </c>
      <c r="N3" s="48">
        <f ca="1">IFERROR(__xludf.DUMMYFUNCTION("""COMPUTED_VALUE"""),16)</f>
        <v>16</v>
      </c>
      <c r="O3" s="48">
        <f ca="1">IFERROR(__xludf.DUMMYFUNCTION("""COMPUTED_VALUE"""),18)</f>
        <v>18</v>
      </c>
      <c r="P3" s="48">
        <f ca="1">IFERROR(__xludf.DUMMYFUNCTION("""COMPUTED_VALUE"""),0)</f>
        <v>0</v>
      </c>
      <c r="Q3" s="48">
        <f ca="1">IFERROR(__xludf.DUMMYFUNCTION("""COMPUTED_VALUE"""),24)</f>
        <v>24</v>
      </c>
      <c r="R3" s="48">
        <f ca="1">IFERROR(__xludf.DUMMYFUNCTION("""COMPUTED_VALUE"""),8)</f>
        <v>8</v>
      </c>
      <c r="S3" s="48">
        <f ca="1">IFERROR(__xludf.DUMMYFUNCTION("""COMPUTED_VALUE"""),160)</f>
        <v>160</v>
      </c>
    </row>
    <row r="4" spans="1:19">
      <c r="A4" s="46" t="str">
        <f ca="1">IFERROR(__xludf.DUMMYFUNCTION("""COMPUTED_VALUE"""),"DICTAMINACION DE TOPES")</f>
        <v>DICTAMINACION DE TOPES</v>
      </c>
      <c r="B4" s="46">
        <f ca="1">IFERROR(__xludf.DUMMYFUNCTION("""COMPUTED_VALUE"""),80)</f>
        <v>80</v>
      </c>
      <c r="C4" s="46" t="str">
        <f ca="1">IFERROR(__xludf.DUMMYFUNCTION("""COMPUTED_VALUE"""),"TOPES INSTALADOS")</f>
        <v>TOPES INSTALADOS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OPERATIVA")</f>
        <v>BITACORA OPERATIVA</v>
      </c>
      <c r="F4" s="48">
        <f ca="1">IFERROR(__xludf.DUMMYFUNCTION("""COMPUTED_VALUE"""),84.2105263157894)</f>
        <v>84.210526315789394</v>
      </c>
      <c r="G4" s="48">
        <f ca="1">IFERROR(__xludf.DUMMYFUNCTION("""COMPUTED_VALUE"""),2)</f>
        <v>2</v>
      </c>
      <c r="H4" s="48">
        <f ca="1">IFERROR(__xludf.DUMMYFUNCTION("""COMPUTED_VALUE"""),1)</f>
        <v>1</v>
      </c>
      <c r="I4" s="48">
        <f ca="1">IFERROR(__xludf.DUMMYFUNCTION("""COMPUTED_VALUE"""),0)</f>
        <v>0</v>
      </c>
      <c r="J4" s="48">
        <f ca="1">IFERROR(__xludf.DUMMYFUNCTION("""COMPUTED_VALUE"""),3)</f>
        <v>3</v>
      </c>
      <c r="K4" s="48">
        <f ca="1">IFERROR(__xludf.DUMMYFUNCTION("""COMPUTED_VALUE"""),2)</f>
        <v>2</v>
      </c>
      <c r="L4" s="48">
        <f ca="1">IFERROR(__xludf.DUMMYFUNCTION("""COMPUTED_VALUE"""),0)</f>
        <v>0</v>
      </c>
      <c r="M4" s="48">
        <f ca="1">IFERROR(__xludf.DUMMYFUNCTION("""COMPUTED_VALUE"""),4)</f>
        <v>4</v>
      </c>
      <c r="N4" s="48">
        <f ca="1">IFERROR(__xludf.DUMMYFUNCTION("""COMPUTED_VALUE"""),2)</f>
        <v>2</v>
      </c>
      <c r="O4" s="48">
        <f ca="1">IFERROR(__xludf.DUMMYFUNCTION("""COMPUTED_VALUE"""),2)</f>
        <v>2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IFERROR(__xludf.DUMMYFUNCTION("""COMPUTED_VALUE"""),16)</f>
        <v>16</v>
      </c>
    </row>
    <row r="5" spans="1:19">
      <c r="A5" s="46" t="str">
        <f ca="1">IFERROR(__xludf.DUMMYFUNCTION("""COMPUTED_VALUE"""),"DICTAMINACION DE ESPACIOS EXCLUSIVOS")</f>
        <v>DICTAMINACION DE ESPACIOS EXCLUSIVOS</v>
      </c>
      <c r="B5" s="46">
        <f ca="1">IFERROR(__xludf.DUMMYFUNCTION("""COMPUTED_VALUE"""),15)</f>
        <v>15</v>
      </c>
      <c r="C5" s="46" t="str">
        <f ca="1">IFERROR(__xludf.DUMMYFUNCTION("""COMPUTED_VALUE"""),"ESPACIOS INTERVENIDOS")</f>
        <v>ESPACIOS INTERVENIDOS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8">
        <f ca="1">IFERROR(__xludf.DUMMYFUNCTION("""COMPUTED_VALUE"""),86.6666666666666)</f>
        <v>86.6666666666666</v>
      </c>
      <c r="G5" s="48">
        <f ca="1">IFERROR(__xludf.DUMMYFUNCTION("""COMPUTED_VALUE"""),2)</f>
        <v>2</v>
      </c>
      <c r="H5" s="48">
        <f ca="1">IFERROR(__xludf.DUMMYFUNCTION("""COMPUTED_VALUE"""),2)</f>
        <v>2</v>
      </c>
      <c r="I5" s="48">
        <f ca="1">IFERROR(__xludf.DUMMYFUNCTION("""COMPUTED_VALUE"""),3)</f>
        <v>3</v>
      </c>
      <c r="J5" s="48">
        <f ca="1">IFERROR(__xludf.DUMMYFUNCTION("""COMPUTED_VALUE"""),1)</f>
        <v>1</v>
      </c>
      <c r="K5" s="48">
        <f ca="1">IFERROR(__xludf.DUMMYFUNCTION("""COMPUTED_VALUE"""),1)</f>
        <v>1</v>
      </c>
      <c r="L5" s="48">
        <f ca="1">IFERROR(__xludf.DUMMYFUNCTION("""COMPUTED_VALUE"""),1)</f>
        <v>1</v>
      </c>
      <c r="M5" s="48">
        <f ca="1">IFERROR(__xludf.DUMMYFUNCTION("""COMPUTED_VALUE"""),1)</f>
        <v>1</v>
      </c>
      <c r="N5" s="48">
        <f ca="1">IFERROR(__xludf.DUMMYFUNCTION("""COMPUTED_VALUE"""),1)</f>
        <v>1</v>
      </c>
      <c r="O5" s="48">
        <f ca="1">IFERROR(__xludf.DUMMYFUNCTION("""COMPUTED_VALUE"""),1)</f>
        <v>1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IFERROR(__xludf.DUMMYFUNCTION("""COMPUTED_VALUE"""),13)</f>
        <v>13</v>
      </c>
    </row>
    <row r="6" spans="1:19">
      <c r="A6" s="46" t="str">
        <f ca="1">IFERROR(__xludf.DUMMYFUNCTION("""COMPUTED_VALUE"""),"PROYECTOS DE INTERVENCION")</f>
        <v>PROYECTOS DE INTERVENCION</v>
      </c>
      <c r="B6" s="46">
        <f ca="1">IFERROR(__xludf.DUMMYFUNCTION("""COMPUTED_VALUE"""),30)</f>
        <v>30</v>
      </c>
      <c r="C6" s="46" t="str">
        <f ca="1">IFERROR(__xludf.DUMMYFUNCTION("""COMPUTED_VALUE"""),"PROYECTOS EJECUTADOS")</f>
        <v>PROYECTOS EJECUTADOS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8">
        <f ca="1">IFERROR(__xludf.DUMMYFUNCTION("""COMPUTED_VALUE"""),92.1052631578947)</f>
        <v>92.105263157894697</v>
      </c>
      <c r="G6" s="48">
        <f ca="1">IFERROR(__xludf.DUMMYFUNCTION("""COMPUTED_VALUE"""),5)</f>
        <v>5</v>
      </c>
      <c r="H6" s="48">
        <f ca="1">IFERROR(__xludf.DUMMYFUNCTION("""COMPUTED_VALUE"""),5)</f>
        <v>5</v>
      </c>
      <c r="I6" s="48">
        <f ca="1">IFERROR(__xludf.DUMMYFUNCTION("""COMPUTED_VALUE"""),2)</f>
        <v>2</v>
      </c>
      <c r="J6" s="48">
        <f ca="1">IFERROR(__xludf.DUMMYFUNCTION("""COMPUTED_VALUE"""),3)</f>
        <v>3</v>
      </c>
      <c r="K6" s="48">
        <f ca="1">IFERROR(__xludf.DUMMYFUNCTION("""COMPUTED_VALUE"""),2)</f>
        <v>2</v>
      </c>
      <c r="L6" s="48">
        <f ca="1">IFERROR(__xludf.DUMMYFUNCTION("""COMPUTED_VALUE"""),4)</f>
        <v>4</v>
      </c>
      <c r="M6" s="48">
        <f ca="1">IFERROR(__xludf.DUMMYFUNCTION("""COMPUTED_VALUE"""),5)</f>
        <v>5</v>
      </c>
      <c r="N6" s="48">
        <f ca="1">IFERROR(__xludf.DUMMYFUNCTION("""COMPUTED_VALUE"""),4)</f>
        <v>4</v>
      </c>
      <c r="O6" s="48">
        <f ca="1">IFERROR(__xludf.DUMMYFUNCTION("""COMPUTED_VALUE"""),5)</f>
        <v>5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IFERROR(__xludf.DUMMYFUNCTION("""COMPUTED_VALUE"""),35)</f>
        <v>35</v>
      </c>
    </row>
    <row r="7" spans="1:19">
      <c r="A7" s="46" t="str">
        <f ca="1">IFERROR(__xludf.DUMMYFUNCTION("""COMPUTED_VALUE"""),"SESIONES DE MESAS METROPOLITANAS")</f>
        <v>SESIONES DE MESAS METROPOLITANAS</v>
      </c>
      <c r="B7" s="46">
        <f ca="1">IFERROR(__xludf.DUMMYFUNCTION("""COMPUTED_VALUE"""),12)</f>
        <v>12</v>
      </c>
      <c r="C7" s="46" t="str">
        <f ca="1">IFERROR(__xludf.DUMMYFUNCTION("""COMPUTED_VALUE"""),"SESIONES")</f>
        <v>SESIONES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8">
        <f ca="1">IFERROR(__xludf.DUMMYFUNCTION("""COMPUTED_VALUE"""),169.230769230769)</f>
        <v>169.230769230769</v>
      </c>
      <c r="G7" s="48">
        <f ca="1">IFERROR(__xludf.DUMMYFUNCTION("""COMPUTED_VALUE"""),1)</f>
        <v>1</v>
      </c>
      <c r="H7" s="48">
        <f ca="1">IFERROR(__xludf.DUMMYFUNCTION("""COMPUTED_VALUE"""),1)</f>
        <v>1</v>
      </c>
      <c r="I7" s="48">
        <f ca="1">IFERROR(__xludf.DUMMYFUNCTION("""COMPUTED_VALUE"""),1)</f>
        <v>1</v>
      </c>
      <c r="J7" s="48">
        <f ca="1">IFERROR(__xludf.DUMMYFUNCTION("""COMPUTED_VALUE"""),2)</f>
        <v>2</v>
      </c>
      <c r="K7" s="48">
        <f ca="1">IFERROR(__xludf.DUMMYFUNCTION("""COMPUTED_VALUE"""),1)</f>
        <v>1</v>
      </c>
      <c r="L7" s="48">
        <f ca="1">IFERROR(__xludf.DUMMYFUNCTION("""COMPUTED_VALUE"""),1)</f>
        <v>1</v>
      </c>
      <c r="M7" s="48">
        <f ca="1">IFERROR(__xludf.DUMMYFUNCTION("""COMPUTED_VALUE"""),2)</f>
        <v>2</v>
      </c>
      <c r="N7" s="48">
        <f ca="1">IFERROR(__xludf.DUMMYFUNCTION("""COMPUTED_VALUE"""),2)</f>
        <v>2</v>
      </c>
      <c r="O7" s="48">
        <f ca="1">IFERROR(__xludf.DUMMYFUNCTION("""COMPUTED_VALUE"""),1)</f>
        <v>1</v>
      </c>
      <c r="P7" s="48">
        <f ca="1">IFERROR(__xludf.DUMMYFUNCTION("""COMPUTED_VALUE"""),4)</f>
        <v>4</v>
      </c>
      <c r="Q7" s="48">
        <f ca="1">IFERROR(__xludf.DUMMYFUNCTION("""COMPUTED_VALUE"""),2)</f>
        <v>2</v>
      </c>
      <c r="R7" s="48">
        <f ca="1">IFERROR(__xludf.DUMMYFUNCTION("""COMPUTED_VALUE"""),4)</f>
        <v>4</v>
      </c>
      <c r="S7" s="48">
        <f ca="1">IFERROR(__xludf.DUMMYFUNCTION("""COMPUTED_VALUE"""),22)</f>
        <v>22</v>
      </c>
    </row>
    <row r="8" spans="1:19">
      <c r="A8" s="46" t="str">
        <f ca="1">IFERROR(__xludf.DUMMYFUNCTION("""COMPUTED_VALUE"""),"SEGUIMIENTO DE ACUERDOS METROPOLITANOS")</f>
        <v>SEGUIMIENTO DE ACUERDOS METROPOLITANOS</v>
      </c>
      <c r="B8" s="46">
        <f ca="1">IFERROR(__xludf.DUMMYFUNCTION("""COMPUTED_VALUE"""),520)</f>
        <v>520</v>
      </c>
      <c r="C8" s="46" t="str">
        <f ca="1">IFERROR(__xludf.DUMMYFUNCTION("""COMPUTED_VALUE"""),"ACUERDOS TOMADOS")</f>
        <v>ACUERDOS TOMADOS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8">
        <f ca="1">IFERROR(__xludf.DUMMYFUNCTION("""COMPUTED_VALUE"""),121.428571428571)</f>
        <v>121.428571428571</v>
      </c>
      <c r="G8" s="48">
        <f ca="1">IFERROR(__xludf.DUMMYFUNCTION("""COMPUTED_VALUE"""),1)</f>
        <v>1</v>
      </c>
      <c r="H8" s="48">
        <f ca="1">IFERROR(__xludf.DUMMYFUNCTION("""COMPUTED_VALUE"""),1)</f>
        <v>1</v>
      </c>
      <c r="I8" s="48">
        <f ca="1">IFERROR(__xludf.DUMMYFUNCTION("""COMPUTED_VALUE"""),1)</f>
        <v>1</v>
      </c>
      <c r="J8" s="48">
        <f ca="1">IFERROR(__xludf.DUMMYFUNCTION("""COMPUTED_VALUE"""),2)</f>
        <v>2</v>
      </c>
      <c r="K8" s="48">
        <f ca="1">IFERROR(__xludf.DUMMYFUNCTION("""COMPUTED_VALUE"""),2)</f>
        <v>2</v>
      </c>
      <c r="L8" s="48">
        <f ca="1">IFERROR(__xludf.DUMMYFUNCTION("""COMPUTED_VALUE"""),1)</f>
        <v>1</v>
      </c>
      <c r="M8" s="48">
        <f ca="1">IFERROR(__xludf.DUMMYFUNCTION("""COMPUTED_VALUE"""),1)</f>
        <v>1</v>
      </c>
      <c r="N8" s="48">
        <f ca="1">IFERROR(__xludf.DUMMYFUNCTION("""COMPUTED_VALUE"""),2)</f>
        <v>2</v>
      </c>
      <c r="O8" s="48">
        <f ca="1">IFERROR(__xludf.DUMMYFUNCTION("""COMPUTED_VALUE"""),1)</f>
        <v>1</v>
      </c>
      <c r="P8" s="48">
        <f ca="1">IFERROR(__xludf.DUMMYFUNCTION("""COMPUTED_VALUE"""),2)</f>
        <v>2</v>
      </c>
      <c r="Q8" s="48">
        <f ca="1">IFERROR(__xludf.DUMMYFUNCTION("""COMPUTED_VALUE"""),1)</f>
        <v>1</v>
      </c>
      <c r="R8" s="48">
        <f ca="1">IFERROR(__xludf.DUMMYFUNCTION("""COMPUTED_VALUE"""),2)</f>
        <v>2</v>
      </c>
      <c r="S8" s="48">
        <f ca="1">IFERROR(__xludf.DUMMYFUNCTION("""COMPUTED_VALUE"""),17)</f>
        <v>17</v>
      </c>
    </row>
    <row r="9" spans="1:19">
      <c r="A9" s="46" t="str">
        <f ca="1">IFERROR(__xludf.DUMMYFUNCTION("""COMPUTED_VALUE"""),"SESIONES DE GRUPOS DE TRABAJO")</f>
        <v>SESIONES DE GRUPOS DE TRABAJO</v>
      </c>
      <c r="B9" s="46">
        <f ca="1">IFERROR(__xludf.DUMMYFUNCTION("""COMPUTED_VALUE"""),500)</f>
        <v>500</v>
      </c>
      <c r="C9" s="46" t="str">
        <f ca="1">IFERROR(__xludf.DUMMYFUNCTION("""COMPUTED_VALUE"""),"SESIONES")</f>
        <v>SESIONES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8">
        <f ca="1">IFERROR(__xludf.DUMMYFUNCTION("""COMPUTED_VALUE"""),126.666666666666)</f>
        <v>126.666666666666</v>
      </c>
      <c r="G9" s="48">
        <f ca="1">IFERROR(__xludf.DUMMYFUNCTION("""COMPUTED_VALUE"""),2)</f>
        <v>2</v>
      </c>
      <c r="H9" s="48">
        <f ca="1">IFERROR(__xludf.DUMMYFUNCTION("""COMPUTED_VALUE"""),2)</f>
        <v>2</v>
      </c>
      <c r="I9" s="48">
        <f ca="1">IFERROR(__xludf.DUMMYFUNCTION("""COMPUTED_VALUE"""),1)</f>
        <v>1</v>
      </c>
      <c r="J9" s="48">
        <f ca="1">IFERROR(__xludf.DUMMYFUNCTION("""COMPUTED_VALUE"""),3)</f>
        <v>3</v>
      </c>
      <c r="K9" s="48">
        <f ca="1">IFERROR(__xludf.DUMMYFUNCTION("""COMPUTED_VALUE"""),1)</f>
        <v>1</v>
      </c>
      <c r="L9" s="48">
        <f ca="1">IFERROR(__xludf.DUMMYFUNCTION("""COMPUTED_VALUE"""),1)</f>
        <v>1</v>
      </c>
      <c r="M9" s="48">
        <f ca="1">IFERROR(__xludf.DUMMYFUNCTION("""COMPUTED_VALUE"""),2)</f>
        <v>2</v>
      </c>
      <c r="N9" s="48">
        <f ca="1">IFERROR(__xludf.DUMMYFUNCTION("""COMPUTED_VALUE"""),1)</f>
        <v>1</v>
      </c>
      <c r="O9" s="48">
        <f ca="1">IFERROR(__xludf.DUMMYFUNCTION("""COMPUTED_VALUE"""),1)</f>
        <v>1</v>
      </c>
      <c r="P9" s="48">
        <f ca="1">IFERROR(__xludf.DUMMYFUNCTION("""COMPUTED_VALUE"""),2)</f>
        <v>2</v>
      </c>
      <c r="Q9" s="48">
        <f ca="1">IFERROR(__xludf.DUMMYFUNCTION("""COMPUTED_VALUE"""),1)</f>
        <v>1</v>
      </c>
      <c r="R9" s="48">
        <f ca="1">IFERROR(__xludf.DUMMYFUNCTION("""COMPUTED_VALUE"""),2)</f>
        <v>2</v>
      </c>
      <c r="S9" s="48">
        <f ca="1">IFERROR(__xludf.DUMMYFUNCTION("""COMPUTED_VALUE"""),19)</f>
        <v>19</v>
      </c>
    </row>
    <row r="10" spans="1:19">
      <c r="A10" s="46" t="str">
        <f ca="1">IFERROR(__xludf.DUMMYFUNCTION("""COMPUTED_VALUE"""),"DISEÑO DE HERRAMIENTAS")</f>
        <v>DISEÑO DE HERRAMIENTAS</v>
      </c>
      <c r="B10" s="46">
        <f ca="1">IFERROR(__xludf.DUMMYFUNCTION("""COMPUTED_VALUE"""),1100)</f>
        <v>1100</v>
      </c>
      <c r="C10" s="46" t="str">
        <f ca="1">IFERROR(__xludf.DUMMYFUNCTION("""COMPUTED_VALUE"""),"HERRAMIENTAS REALIZADAS")</f>
        <v>HERRAMIENTAS REALIZADAS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8">
        <f ca="1">IFERROR(__xludf.DUMMYFUNCTION("""COMPUTED_VALUE"""),140.625)</f>
        <v>140.625</v>
      </c>
      <c r="G10" s="48">
        <f ca="1">IFERROR(__xludf.DUMMYFUNCTION("""COMPUTED_VALUE"""),3)</f>
        <v>3</v>
      </c>
      <c r="H10" s="48">
        <f ca="1">IFERROR(__xludf.DUMMYFUNCTION("""COMPUTED_VALUE"""),1)</f>
        <v>1</v>
      </c>
      <c r="I10" s="48">
        <f ca="1">IFERROR(__xludf.DUMMYFUNCTION("""COMPUTED_VALUE"""),1)</f>
        <v>1</v>
      </c>
      <c r="J10" s="48">
        <f ca="1">IFERROR(__xludf.DUMMYFUNCTION("""COMPUTED_VALUE"""),4)</f>
        <v>4</v>
      </c>
      <c r="K10" s="48">
        <f ca="1">IFERROR(__xludf.DUMMYFUNCTION("""COMPUTED_VALUE"""),5)</f>
        <v>5</v>
      </c>
      <c r="L10" s="48">
        <f ca="1">IFERROR(__xludf.DUMMYFUNCTION("""COMPUTED_VALUE"""),4)</f>
        <v>4</v>
      </c>
      <c r="M10" s="48">
        <f ca="1">IFERROR(__xludf.DUMMYFUNCTION("""COMPUTED_VALUE"""),3)</f>
        <v>3</v>
      </c>
      <c r="N10" s="48">
        <f ca="1">IFERROR(__xludf.DUMMYFUNCTION("""COMPUTED_VALUE"""),3)</f>
        <v>3</v>
      </c>
      <c r="O10" s="48">
        <f ca="1">IFERROR(__xludf.DUMMYFUNCTION("""COMPUTED_VALUE"""),4)</f>
        <v>4</v>
      </c>
      <c r="P10" s="48">
        <f ca="1">IFERROR(__xludf.DUMMYFUNCTION("""COMPUTED_VALUE"""),5)</f>
        <v>5</v>
      </c>
      <c r="Q10" s="48">
        <f ca="1">IFERROR(__xludf.DUMMYFUNCTION("""COMPUTED_VALUE"""),8)</f>
        <v>8</v>
      </c>
      <c r="R10" s="48">
        <f ca="1">IFERROR(__xludf.DUMMYFUNCTION("""COMPUTED_VALUE"""),4)</f>
        <v>4</v>
      </c>
      <c r="S10" s="48">
        <f ca="1">IFERROR(__xludf.DUMMYFUNCTION("""COMPUTED_VALUE"""),45)</f>
        <v>45</v>
      </c>
    </row>
    <row r="11" spans="1:19">
      <c r="A11" s="46" t="str">
        <f ca="1">IFERROR(__xludf.DUMMYFUNCTION("""COMPUTED_VALUE"""),"ACTUALIZACION DE HERRAMIENTAS ")</f>
        <v xml:space="preserve">ACTUALIZACION DE HERRAMIENTAS </v>
      </c>
      <c r="B11" s="46">
        <f ca="1">IFERROR(__xludf.DUMMYFUNCTION("""COMPUTED_VALUE"""),980)</f>
        <v>980</v>
      </c>
      <c r="C11" s="46" t="str">
        <f ca="1">IFERROR(__xludf.DUMMYFUNCTION("""COMPUTED_VALUE"""),"HERRAMIENTAS ACTUALIZADAS")</f>
        <v>HERRAMIENTAS ACTUALIZADAS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8">
        <f ca="1">IFERROR(__xludf.DUMMYFUNCTION("""COMPUTED_VALUE"""),133.333333333333)</f>
        <v>133.333333333333</v>
      </c>
      <c r="G11" s="48">
        <f ca="1">IFERROR(__xludf.DUMMYFUNCTION("""COMPUTED_VALUE"""),1)</f>
        <v>1</v>
      </c>
      <c r="H11" s="48">
        <f ca="1">IFERROR(__xludf.DUMMYFUNCTION("""COMPUTED_VALUE"""),3)</f>
        <v>3</v>
      </c>
      <c r="I11" s="48">
        <f ca="1">IFERROR(__xludf.DUMMYFUNCTION("""COMPUTED_VALUE"""),1)</f>
        <v>1</v>
      </c>
      <c r="J11" s="48">
        <f ca="1">IFERROR(__xludf.DUMMYFUNCTION("""COMPUTED_VALUE"""),2)</f>
        <v>2</v>
      </c>
      <c r="K11" s="48">
        <f ca="1">IFERROR(__xludf.DUMMYFUNCTION("""COMPUTED_VALUE"""),4)</f>
        <v>4</v>
      </c>
      <c r="L11" s="48">
        <f ca="1">IFERROR(__xludf.DUMMYFUNCTION("""COMPUTED_VALUE"""),2)</f>
        <v>2</v>
      </c>
      <c r="M11" s="48">
        <f ca="1">IFERROR(__xludf.DUMMYFUNCTION("""COMPUTED_VALUE"""),2)</f>
        <v>2</v>
      </c>
      <c r="N11" s="48">
        <f ca="1">IFERROR(__xludf.DUMMYFUNCTION("""COMPUTED_VALUE"""),2)</f>
        <v>2</v>
      </c>
      <c r="O11" s="48">
        <f ca="1">IFERROR(__xludf.DUMMYFUNCTION("""COMPUTED_VALUE"""),3)</f>
        <v>3</v>
      </c>
      <c r="P11" s="48">
        <f ca="1">IFERROR(__xludf.DUMMYFUNCTION("""COMPUTED_VALUE"""),3)</f>
        <v>3</v>
      </c>
      <c r="Q11" s="48">
        <f ca="1">IFERROR(__xludf.DUMMYFUNCTION("""COMPUTED_VALUE"""),2)</f>
        <v>2</v>
      </c>
      <c r="R11" s="48">
        <f ca="1">IFERROR(__xludf.DUMMYFUNCTION("""COMPUTED_VALUE"""),3)</f>
        <v>3</v>
      </c>
      <c r="S11" s="48">
        <f ca="1">IFERROR(__xludf.DUMMYFUNCTION("""COMPUTED_VALUE"""),28)</f>
        <v>28</v>
      </c>
    </row>
    <row r="12" spans="1:19">
      <c r="A12" s="46" t="str">
        <f ca="1">IFERROR(__xludf.DUMMYFUNCTION("""COMPUTED_VALUE"""),"SESIONES DE GRUPOS DE TRABAJO")</f>
        <v>SESIONES DE GRUPOS DE TRABAJO</v>
      </c>
      <c r="B12" s="46">
        <f ca="1">IFERROR(__xludf.DUMMYFUNCTION("""COMPUTED_VALUE"""),70)</f>
        <v>70</v>
      </c>
      <c r="C12" s="46" t="str">
        <f ca="1">IFERROR(__xludf.DUMMYFUNCTION("""COMPUTED_VALUE"""),"SESIONES")</f>
        <v>SESIONES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8">
        <f ca="1">IFERROR(__xludf.DUMMYFUNCTION("""COMPUTED_VALUE"""),126.530612244897)</f>
        <v>126.530612244897</v>
      </c>
      <c r="G12" s="48">
        <f ca="1">IFERROR(__xludf.DUMMYFUNCTION("""COMPUTED_VALUE"""),5)</f>
        <v>5</v>
      </c>
      <c r="H12" s="48">
        <f ca="1">IFERROR(__xludf.DUMMYFUNCTION("""COMPUTED_VALUE"""),4)</f>
        <v>4</v>
      </c>
      <c r="I12" s="48">
        <f ca="1">IFERROR(__xludf.DUMMYFUNCTION("""COMPUTED_VALUE"""),4)</f>
        <v>4</v>
      </c>
      <c r="J12" s="48">
        <f ca="1">IFERROR(__xludf.DUMMYFUNCTION("""COMPUTED_VALUE"""),9)</f>
        <v>9</v>
      </c>
      <c r="K12" s="48">
        <f ca="1">IFERROR(__xludf.DUMMYFUNCTION("""COMPUTED_VALUE"""),6)</f>
        <v>6</v>
      </c>
      <c r="L12" s="48">
        <f ca="1">IFERROR(__xludf.DUMMYFUNCTION("""COMPUTED_VALUE"""),4)</f>
        <v>4</v>
      </c>
      <c r="M12" s="48">
        <f ca="1">IFERROR(__xludf.DUMMYFUNCTION("""COMPUTED_VALUE"""),5)</f>
        <v>5</v>
      </c>
      <c r="N12" s="48">
        <f ca="1">IFERROR(__xludf.DUMMYFUNCTION("""COMPUTED_VALUE"""),6)</f>
        <v>6</v>
      </c>
      <c r="O12" s="48">
        <f ca="1">IFERROR(__xludf.DUMMYFUNCTION("""COMPUTED_VALUE"""),2)</f>
        <v>2</v>
      </c>
      <c r="P12" s="48">
        <f ca="1">IFERROR(__xludf.DUMMYFUNCTION("""COMPUTED_VALUE"""),5)</f>
        <v>5</v>
      </c>
      <c r="Q12" s="48">
        <f ca="1">IFERROR(__xludf.DUMMYFUNCTION("""COMPUTED_VALUE"""),7)</f>
        <v>7</v>
      </c>
      <c r="R12" s="48">
        <f ca="1">IFERROR(__xludf.DUMMYFUNCTION("""COMPUTED_VALUE"""),5)</f>
        <v>5</v>
      </c>
      <c r="S12" s="48">
        <f ca="1">IFERROR(__xludf.DUMMYFUNCTION("""COMPUTED_VALUE"""),62)</f>
        <v>62</v>
      </c>
    </row>
    <row r="13" spans="1:19">
      <c r="A13" s="46" t="str">
        <f ca="1">IFERROR(__xludf.DUMMYFUNCTION("""COMPUTED_VALUE"""),"SEGUIMIENTO DE ACUERDOS")</f>
        <v>SEGUIMIENTO DE ACUERDOS</v>
      </c>
      <c r="B13" s="46">
        <f ca="1">IFERROR(__xludf.DUMMYFUNCTION("""COMPUTED_VALUE"""),80)</f>
        <v>80</v>
      </c>
      <c r="C13" s="46" t="str">
        <f ca="1">IFERROR(__xludf.DUMMYFUNCTION("""COMPUTED_VALUE"""),"ACUERDOS TOMADOS")</f>
        <v>ACUERDOS TOMADOS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8">
        <f ca="1">IFERROR(__xludf.DUMMYFUNCTION("""COMPUTED_VALUE"""),101.212121212121)</f>
        <v>101.212121212121</v>
      </c>
      <c r="G13" s="48">
        <f ca="1">IFERROR(__xludf.DUMMYFUNCTION("""COMPUTED_VALUE"""),30)</f>
        <v>30</v>
      </c>
      <c r="H13" s="48">
        <f ca="1">IFERROR(__xludf.DUMMYFUNCTION("""COMPUTED_VALUE"""),15)</f>
        <v>15</v>
      </c>
      <c r="I13" s="48">
        <f ca="1">IFERROR(__xludf.DUMMYFUNCTION("""COMPUTED_VALUE"""),10)</f>
        <v>10</v>
      </c>
      <c r="J13" s="48">
        <f ca="1">IFERROR(__xludf.DUMMYFUNCTION("""COMPUTED_VALUE"""),22)</f>
        <v>22</v>
      </c>
      <c r="K13" s="48">
        <f ca="1">IFERROR(__xludf.DUMMYFUNCTION("""COMPUTED_VALUE"""),22)</f>
        <v>22</v>
      </c>
      <c r="L13" s="48">
        <f ca="1">IFERROR(__xludf.DUMMYFUNCTION("""COMPUTED_VALUE"""),10)</f>
        <v>10</v>
      </c>
      <c r="M13" s="48">
        <f ca="1">IFERROR(__xludf.DUMMYFUNCTION("""COMPUTED_VALUE"""),15)</f>
        <v>15</v>
      </c>
      <c r="N13" s="48">
        <f ca="1">IFERROR(__xludf.DUMMYFUNCTION("""COMPUTED_VALUE"""),17)</f>
        <v>17</v>
      </c>
      <c r="O13" s="48">
        <f ca="1">IFERROR(__xludf.DUMMYFUNCTION("""COMPUTED_VALUE"""),6)</f>
        <v>6</v>
      </c>
      <c r="P13" s="48">
        <f ca="1">IFERROR(__xludf.DUMMYFUNCTION("""COMPUTED_VALUE"""),10)</f>
        <v>10</v>
      </c>
      <c r="Q13" s="48">
        <f ca="1">IFERROR(__xludf.DUMMYFUNCTION("""COMPUTED_VALUE"""),10)</f>
        <v>10</v>
      </c>
      <c r="R13" s="48">
        <f ca="1">IFERROR(__xludf.DUMMYFUNCTION("""COMPUTED_VALUE"""),0)</f>
        <v>0</v>
      </c>
      <c r="S13" s="48">
        <f ca="1">IFERROR(__xludf.DUMMYFUNCTION("""COMPUTED_VALUE"""),167)</f>
        <v>167</v>
      </c>
    </row>
    <row r="14" spans="1:19">
      <c r="A14" s="46" t="str">
        <f ca="1">IFERROR(__xludf.DUMMYFUNCTION("""COMPUTED_VALUE"""),"ACTUALIZACION DE INSTRUMENTOS PLANEACION")</f>
        <v>ACTUALIZACION DE INSTRUMENTOS PLANEACION</v>
      </c>
      <c r="B14" s="46">
        <f ca="1">IFERROR(__xludf.DUMMYFUNCTION("""COMPUTED_VALUE"""),30)</f>
        <v>30</v>
      </c>
      <c r="C14" s="46" t="str">
        <f ca="1">IFERROR(__xludf.DUMMYFUNCTION("""COMPUTED_VALUE"""),"ACTUALIZACIONES")</f>
        <v>ACTUALIZACIONES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8">
        <f ca="1">IFERROR(__xludf.DUMMYFUNCTION("""COMPUTED_VALUE"""),125)</f>
        <v>125</v>
      </c>
      <c r="G14" s="48">
        <f ca="1">IFERROR(__xludf.DUMMYFUNCTION("""COMPUTED_VALUE"""),2)</f>
        <v>2</v>
      </c>
      <c r="H14" s="48">
        <f ca="1">IFERROR(__xludf.DUMMYFUNCTION("""COMPUTED_VALUE"""),1)</f>
        <v>1</v>
      </c>
      <c r="I14" s="48">
        <f ca="1">IFERROR(__xludf.DUMMYFUNCTION("""COMPUTED_VALUE"""),1)</f>
        <v>1</v>
      </c>
      <c r="J14" s="48">
        <f ca="1">IFERROR(__xludf.DUMMYFUNCTION("""COMPUTED_VALUE"""),2)</f>
        <v>2</v>
      </c>
      <c r="K14" s="48">
        <f ca="1">IFERROR(__xludf.DUMMYFUNCTION("""COMPUTED_VALUE"""),3)</f>
        <v>3</v>
      </c>
      <c r="L14" s="48">
        <f ca="1">IFERROR(__xludf.DUMMYFUNCTION("""COMPUTED_VALUE"""),4)</f>
        <v>4</v>
      </c>
      <c r="M14" s="48">
        <f ca="1">IFERROR(__xludf.DUMMYFUNCTION("""COMPUTED_VALUE"""),2)</f>
        <v>2</v>
      </c>
      <c r="N14" s="48">
        <f ca="1">IFERROR(__xludf.DUMMYFUNCTION("""COMPUTED_VALUE"""),2)</f>
        <v>2</v>
      </c>
      <c r="O14" s="48">
        <f ca="1">IFERROR(__xludf.DUMMYFUNCTION("""COMPUTED_VALUE"""),2)</f>
        <v>2</v>
      </c>
      <c r="P14" s="48">
        <f ca="1">IFERROR(__xludf.DUMMYFUNCTION("""COMPUTED_VALUE"""),2)</f>
        <v>2</v>
      </c>
      <c r="Q14" s="48">
        <f ca="1">IFERROR(__xludf.DUMMYFUNCTION("""COMPUTED_VALUE"""),1)</f>
        <v>1</v>
      </c>
      <c r="R14" s="48">
        <f ca="1">IFERROR(__xludf.DUMMYFUNCTION("""COMPUTED_VALUE"""),3)</f>
        <v>3</v>
      </c>
      <c r="S14" s="48">
        <f ca="1">IFERROR(__xludf.DUMMYFUNCTION("""COMPUTED_VALUE"""),25)</f>
        <v>25</v>
      </c>
    </row>
    <row r="15" spans="1:19">
      <c r="A15" s="46" t="str">
        <f ca="1">IFERROR(__xludf.DUMMYFUNCTION("""COMPUTED_VALUE"""),"ACTUALIZACION DE INSTRUMENTOS SIG")</f>
        <v>ACTUALIZACION DE INSTRUMENTOS SIG</v>
      </c>
      <c r="B15" s="46">
        <f ca="1">IFERROR(__xludf.DUMMYFUNCTION("""COMPUTED_VALUE"""),400)</f>
        <v>400</v>
      </c>
      <c r="C15" s="46" t="str">
        <f ca="1">IFERROR(__xludf.DUMMYFUNCTION("""COMPUTED_VALUE"""),"ACTUALIZACIONES")</f>
        <v>ACTUALIZACIONES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8">
        <f ca="1">IFERROR(__xludf.DUMMYFUNCTION("""COMPUTED_VALUE"""),81.25)</f>
        <v>81.25</v>
      </c>
      <c r="G15" s="48">
        <f ca="1">IFERROR(__xludf.DUMMYFUNCTION("""COMPUTED_VALUE"""),1)</f>
        <v>1</v>
      </c>
      <c r="H15" s="48">
        <f ca="1">IFERROR(__xludf.DUMMYFUNCTION("""COMPUTED_VALUE"""),2)</f>
        <v>2</v>
      </c>
      <c r="I15" s="48">
        <f ca="1">IFERROR(__xludf.DUMMYFUNCTION("""COMPUTED_VALUE"""),2)</f>
        <v>2</v>
      </c>
      <c r="J15" s="48">
        <f ca="1">IFERROR(__xludf.DUMMYFUNCTION("""COMPUTED_VALUE"""),1)</f>
        <v>1</v>
      </c>
      <c r="K15" s="48">
        <f ca="1">IFERROR(__xludf.DUMMYFUNCTION("""COMPUTED_VALUE"""),2)</f>
        <v>2</v>
      </c>
      <c r="L15" s="48">
        <f ca="1">IFERROR(__xludf.DUMMYFUNCTION("""COMPUTED_VALUE"""),1)</f>
        <v>1</v>
      </c>
      <c r="M15" s="48">
        <f ca="1">IFERROR(__xludf.DUMMYFUNCTION("""COMPUTED_VALUE"""),1)</f>
        <v>1</v>
      </c>
      <c r="N15" s="48">
        <f ca="1">IFERROR(__xludf.DUMMYFUNCTION("""COMPUTED_VALUE"""),1)</f>
        <v>1</v>
      </c>
      <c r="O15" s="48">
        <f ca="1">IFERROR(__xludf.DUMMYFUNCTION("""COMPUTED_VALUE"""),2)</f>
        <v>2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IFERROR(__xludf.DUMMYFUNCTION("""COMPUTED_VALUE"""),13)</f>
        <v>13</v>
      </c>
    </row>
    <row r="16" spans="1:19">
      <c r="A16" s="46" t="str">
        <f ca="1">IFERROR(__xludf.DUMMYFUNCTION("""COMPUTED_VALUE"""),"DICTAMINACION DE ESPACIOS EXCLUSIVOS")</f>
        <v>DICTAMINACION DE ESPACIOS EXCLUSIVOS</v>
      </c>
      <c r="B16" s="46">
        <f ca="1">IFERROR(__xludf.DUMMYFUNCTION("""COMPUTED_VALUE"""),900)</f>
        <v>900</v>
      </c>
      <c r="C16" s="46" t="str">
        <f ca="1">IFERROR(__xludf.DUMMYFUNCTION("""COMPUTED_VALUE"""),"DICTAMENES REALIZADOS")</f>
        <v>DICTAMENES REALIZADOS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8">
        <f ca="1">IFERROR(__xludf.DUMMYFUNCTION("""COMPUTED_VALUE"""),82.6086956521739)</f>
        <v>82.608695652173907</v>
      </c>
      <c r="G16" s="48">
        <f ca="1">IFERROR(__xludf.DUMMYFUNCTION("""COMPUTED_VALUE"""),3)</f>
        <v>3</v>
      </c>
      <c r="H16" s="48">
        <f ca="1">IFERROR(__xludf.DUMMYFUNCTION("""COMPUTED_VALUE"""),2)</f>
        <v>2</v>
      </c>
      <c r="I16" s="48">
        <f ca="1">IFERROR(__xludf.DUMMYFUNCTION("""COMPUTED_VALUE"""),3)</f>
        <v>3</v>
      </c>
      <c r="J16" s="48">
        <f ca="1">IFERROR(__xludf.DUMMYFUNCTION("""COMPUTED_VALUE"""),1)</f>
        <v>1</v>
      </c>
      <c r="K16" s="48">
        <f ca="1">IFERROR(__xludf.DUMMYFUNCTION("""COMPUTED_VALUE"""),3)</f>
        <v>3</v>
      </c>
      <c r="L16" s="48">
        <f ca="1">IFERROR(__xludf.DUMMYFUNCTION("""COMPUTED_VALUE"""),1)</f>
        <v>1</v>
      </c>
      <c r="M16" s="48">
        <f ca="1">IFERROR(__xludf.DUMMYFUNCTION("""COMPUTED_VALUE"""),2)</f>
        <v>2</v>
      </c>
      <c r="N16" s="48">
        <f ca="1">IFERROR(__xludf.DUMMYFUNCTION("""COMPUTED_VALUE"""),1)</f>
        <v>1</v>
      </c>
      <c r="O16" s="48">
        <f ca="1">IFERROR(__xludf.DUMMYFUNCTION("""COMPUTED_VALUE"""),3)</f>
        <v>3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IFERROR(__xludf.DUMMYFUNCTION("""COMPUTED_VALUE"""),19)</f>
        <v>19</v>
      </c>
    </row>
    <row r="17" spans="1:19">
      <c r="A17" s="46" t="str">
        <f ca="1">IFERROR(__xludf.DUMMYFUNCTION("""COMPUTED_VALUE"""),"SEGUIMIENTO DE REPORTES ACCESIBILIDAD UNIVERSAL")</f>
        <v>SEGUIMIENTO DE REPORTES ACCESIBILIDAD UNIVERSAL</v>
      </c>
      <c r="B17" s="46">
        <f ca="1">IFERROR(__xludf.DUMMYFUNCTION("""COMPUTED_VALUE"""),1060)</f>
        <v>1060</v>
      </c>
      <c r="C17" s="46" t="str">
        <f ca="1">IFERROR(__xludf.DUMMYFUNCTION("""COMPUTED_VALUE"""),"REPORTES REALIZADOS")</f>
        <v>REPORTES REALIZADOS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8">
        <f ca="1">IFERROR(__xludf.DUMMYFUNCTION("""COMPUTED_VALUE"""),94.1176470588235)</f>
        <v>94.117647058823493</v>
      </c>
      <c r="G17" s="48">
        <f ca="1">IFERROR(__xludf.DUMMYFUNCTION("""COMPUTED_VALUE"""),2)</f>
        <v>2</v>
      </c>
      <c r="H17" s="48">
        <f ca="1">IFERROR(__xludf.DUMMYFUNCTION("""COMPUTED_VALUE"""),1)</f>
        <v>1</v>
      </c>
      <c r="I17" s="48">
        <f ca="1">IFERROR(__xludf.DUMMYFUNCTION("""COMPUTED_VALUE"""),2)</f>
        <v>2</v>
      </c>
      <c r="J17" s="48">
        <f ca="1">IFERROR(__xludf.DUMMYFUNCTION("""COMPUTED_VALUE"""),1)</f>
        <v>1</v>
      </c>
      <c r="K17" s="48">
        <f ca="1">IFERROR(__xludf.DUMMYFUNCTION("""COMPUTED_VALUE"""),2)</f>
        <v>2</v>
      </c>
      <c r="L17" s="48">
        <f ca="1">IFERROR(__xludf.DUMMYFUNCTION("""COMPUTED_VALUE"""),2)</f>
        <v>2</v>
      </c>
      <c r="M17" s="48">
        <f ca="1">IFERROR(__xludf.DUMMYFUNCTION("""COMPUTED_VALUE"""),2)</f>
        <v>2</v>
      </c>
      <c r="N17" s="48">
        <f ca="1">IFERROR(__xludf.DUMMYFUNCTION("""COMPUTED_VALUE"""),3)</f>
        <v>3</v>
      </c>
      <c r="O17" s="48">
        <f ca="1">IFERROR(__xludf.DUMMYFUNCTION("""COMPUTED_VALUE"""),1)</f>
        <v>1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IFERROR(__xludf.DUMMYFUNCTION("""COMPUTED_VALUE"""),16)</f>
        <v>16</v>
      </c>
    </row>
    <row r="18" spans="1:19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</row>
    <row r="19" spans="1:19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01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1.1640625" defaultRowHeight="15" customHeight="1"/>
  <cols>
    <col min="1" max="1" width="46.1640625" customWidth="1"/>
    <col min="2" max="2" width="48.33203125" customWidth="1"/>
    <col min="3" max="3" width="57" customWidth="1"/>
    <col min="4" max="4" width="14.6640625" customWidth="1"/>
    <col min="5" max="6" width="21.1640625" customWidth="1"/>
    <col min="7" max="7" width="26.33203125" customWidth="1"/>
    <col min="8" max="8" width="13.6640625" customWidth="1"/>
    <col min="9" max="11" width="10.83203125" customWidth="1"/>
    <col min="12" max="16" width="10.5" customWidth="1"/>
    <col min="17" max="17" width="14" customWidth="1"/>
    <col min="18" max="18" width="11" customWidth="1"/>
    <col min="19" max="19" width="13.1640625" customWidth="1"/>
    <col min="20" max="21" width="12.33203125" customWidth="1"/>
  </cols>
  <sheetData>
    <row r="1" spans="1:21" ht="39.75" customHeight="1">
      <c r="A1" s="56" t="s">
        <v>0</v>
      </c>
      <c r="B1" s="57"/>
      <c r="C1" s="57"/>
      <c r="D1" s="57"/>
      <c r="E1" s="57"/>
      <c r="F1" s="57"/>
      <c r="G1" s="57"/>
      <c r="H1" s="58"/>
      <c r="I1" s="56" t="s">
        <v>1</v>
      </c>
      <c r="J1" s="57"/>
      <c r="K1" s="57"/>
      <c r="L1" s="57"/>
      <c r="M1" s="57"/>
      <c r="N1" s="57"/>
      <c r="O1" s="58"/>
      <c r="P1" s="59" t="s">
        <v>488</v>
      </c>
      <c r="Q1" s="57"/>
      <c r="R1" s="57"/>
      <c r="S1" s="57"/>
      <c r="T1" s="57"/>
      <c r="U1" s="58"/>
    </row>
    <row r="2" spans="1:21" ht="39.75" customHeight="1">
      <c r="A2" s="1" t="s">
        <v>3</v>
      </c>
      <c r="B2" s="2" t="s">
        <v>4</v>
      </c>
      <c r="C2" s="3" t="s">
        <v>5</v>
      </c>
      <c r="D2" s="3" t="s">
        <v>6</v>
      </c>
      <c r="E2" s="3" t="s">
        <v>7</v>
      </c>
      <c r="F2" s="2" t="s">
        <v>8</v>
      </c>
      <c r="G2" s="3" t="s">
        <v>9</v>
      </c>
      <c r="H2" s="3" t="s">
        <v>10</v>
      </c>
      <c r="I2" s="3" t="s">
        <v>11</v>
      </c>
      <c r="J2" s="5" t="s">
        <v>12</v>
      </c>
      <c r="K2" s="5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6" t="s">
        <v>21</v>
      </c>
      <c r="T2" s="6" t="s">
        <v>22</v>
      </c>
      <c r="U2" s="2" t="s">
        <v>23</v>
      </c>
    </row>
    <row r="3" spans="1:21" ht="39.75" customHeight="1">
      <c r="A3" s="55" t="s">
        <v>24</v>
      </c>
      <c r="B3" s="55" t="s">
        <v>24</v>
      </c>
      <c r="C3" s="7" t="s">
        <v>25</v>
      </c>
      <c r="D3" s="8">
        <f>'PRESIDENCIA 25-26'!C3</f>
        <v>337</v>
      </c>
      <c r="E3" s="8" t="str">
        <f>'PRESIDENCIA 25-26'!D3</f>
        <v>CITA</v>
      </c>
      <c r="F3" s="8" t="str">
        <f>'PRESIDENCIA 25-26'!E3</f>
        <v>ASCENDENTE</v>
      </c>
      <c r="G3" s="8" t="str">
        <f>'PRESIDENCIA 25-26'!F3</f>
        <v>BITACORA DE ATENCION</v>
      </c>
      <c r="H3" s="9">
        <f ca="1">'PRESIDENCIA 25-26'!G3</f>
        <v>0</v>
      </c>
      <c r="I3" s="10">
        <f ca="1">'PRESIDENCIA 25-26'!H3</f>
        <v>0</v>
      </c>
      <c r="J3" s="10">
        <f ca="1">'PRESIDENCIA 25-26'!I3</f>
        <v>0</v>
      </c>
      <c r="K3" s="10">
        <f ca="1">'PRESIDENCIA 25-26'!J3</f>
        <v>0</v>
      </c>
      <c r="L3" s="10">
        <f ca="1">'PRESIDENCIA 25-26'!K3</f>
        <v>0</v>
      </c>
      <c r="M3" s="10">
        <f ca="1">'PRESIDENCIA 25-26'!L3</f>
        <v>0</v>
      </c>
      <c r="N3" s="10">
        <f ca="1">'PRESIDENCIA 25-26'!M3</f>
        <v>0</v>
      </c>
      <c r="O3" s="10">
        <f ca="1">'PRESIDENCIA 25-26'!N3</f>
        <v>0</v>
      </c>
      <c r="P3" s="10">
        <f ca="1">'PRESIDENCIA 25-26'!O3</f>
        <v>0</v>
      </c>
      <c r="Q3" s="10">
        <f ca="1">'PRESIDENCIA 25-26'!P3</f>
        <v>0</v>
      </c>
      <c r="R3" s="10">
        <f ca="1">'PRESIDENCIA 25-26'!Q3</f>
        <v>0</v>
      </c>
      <c r="S3" s="10">
        <f ca="1">'PRESIDENCIA 25-26'!R3</f>
        <v>0</v>
      </c>
      <c r="T3" s="10">
        <f ca="1">'PRESIDENCIA 25-26'!S3</f>
        <v>0</v>
      </c>
      <c r="U3" s="11">
        <f ca="1">'PRESIDENCIA 25-26'!T3</f>
        <v>0</v>
      </c>
    </row>
    <row r="4" spans="1:21" ht="39.75" customHeight="1">
      <c r="A4" s="53"/>
      <c r="B4" s="51"/>
      <c r="C4" s="7" t="s">
        <v>26</v>
      </c>
      <c r="D4" s="8">
        <f>'PRESIDENCIA 25-26'!C4</f>
        <v>920</v>
      </c>
      <c r="E4" s="8" t="str">
        <f>'PRESIDENCIA 25-26'!D4</f>
        <v>NÚM. DE PERSONAS</v>
      </c>
      <c r="F4" s="8" t="str">
        <f>'PRESIDENCIA 25-26'!E4</f>
        <v>ASCENDENTE</v>
      </c>
      <c r="G4" s="8" t="str">
        <f>'PRESIDENCIA 25-26'!F4</f>
        <v>BITACORA DE ATENCION</v>
      </c>
      <c r="H4" s="9">
        <f ca="1">'PRESIDENCIA 25-26'!G4</f>
        <v>0</v>
      </c>
      <c r="I4" s="10">
        <f ca="1">'PRESIDENCIA 25-26'!H4</f>
        <v>0</v>
      </c>
      <c r="J4" s="10">
        <f ca="1">'PRESIDENCIA 25-26'!I4</f>
        <v>0</v>
      </c>
      <c r="K4" s="10">
        <f ca="1">'PRESIDENCIA 25-26'!J4</f>
        <v>0</v>
      </c>
      <c r="L4" s="10">
        <f ca="1">'PRESIDENCIA 25-26'!K4</f>
        <v>0</v>
      </c>
      <c r="M4" s="10">
        <f ca="1">'PRESIDENCIA 25-26'!L4</f>
        <v>0</v>
      </c>
      <c r="N4" s="10">
        <f ca="1">'PRESIDENCIA 25-26'!M4</f>
        <v>0</v>
      </c>
      <c r="O4" s="10">
        <f ca="1">'PRESIDENCIA 25-26'!N4</f>
        <v>0</v>
      </c>
      <c r="P4" s="10">
        <f ca="1">'PRESIDENCIA 25-26'!O4</f>
        <v>0</v>
      </c>
      <c r="Q4" s="10">
        <f ca="1">'PRESIDENCIA 25-26'!P4</f>
        <v>0</v>
      </c>
      <c r="R4" s="10">
        <f ca="1">'PRESIDENCIA 25-26'!Q4</f>
        <v>0</v>
      </c>
      <c r="S4" s="10">
        <f ca="1">'PRESIDENCIA 25-26'!R4</f>
        <v>0</v>
      </c>
      <c r="T4" s="10">
        <f ca="1">'PRESIDENCIA 25-26'!S4</f>
        <v>0</v>
      </c>
      <c r="U4" s="11">
        <f ca="1">'PRESIDENCIA 25-26'!T4</f>
        <v>0</v>
      </c>
    </row>
    <row r="5" spans="1:21" ht="39.75" customHeight="1">
      <c r="A5" s="53"/>
      <c r="B5" s="55" t="s">
        <v>27</v>
      </c>
      <c r="C5" s="7" t="s">
        <v>26</v>
      </c>
      <c r="D5" s="8">
        <f>'PRESIDENCIA 25-26'!C5</f>
        <v>491</v>
      </c>
      <c r="E5" s="8" t="str">
        <f>'PRESIDENCIA 25-26'!D5</f>
        <v>NUM. PERSONAS</v>
      </c>
      <c r="F5" s="8" t="str">
        <f>'PRESIDENCIA 25-26'!E5</f>
        <v>ASCENDENTE</v>
      </c>
      <c r="G5" s="8" t="str">
        <f>'PRESIDENCIA 25-26'!F5</f>
        <v>BITACORA DE ATENCION</v>
      </c>
      <c r="H5" s="9">
        <f ca="1">'PRESIDENCIA 25-26'!G5</f>
        <v>0</v>
      </c>
      <c r="I5" s="10">
        <f ca="1">'PRESIDENCIA 25-26'!H5</f>
        <v>0</v>
      </c>
      <c r="J5" s="10">
        <f ca="1">'PRESIDENCIA 25-26'!I5</f>
        <v>0</v>
      </c>
      <c r="K5" s="10">
        <f ca="1">'PRESIDENCIA 25-26'!J5</f>
        <v>0</v>
      </c>
      <c r="L5" s="10">
        <f ca="1">'PRESIDENCIA 25-26'!K5</f>
        <v>0</v>
      </c>
      <c r="M5" s="10">
        <f ca="1">'PRESIDENCIA 25-26'!L5</f>
        <v>0</v>
      </c>
      <c r="N5" s="10">
        <f ca="1">'PRESIDENCIA 25-26'!M5</f>
        <v>0</v>
      </c>
      <c r="O5" s="10">
        <f ca="1">'PRESIDENCIA 25-26'!N5</f>
        <v>0</v>
      </c>
      <c r="P5" s="10">
        <f ca="1">'PRESIDENCIA 25-26'!O5</f>
        <v>0</v>
      </c>
      <c r="Q5" s="10">
        <f ca="1">'PRESIDENCIA 25-26'!P5</f>
        <v>0</v>
      </c>
      <c r="R5" s="10">
        <f ca="1">'PRESIDENCIA 25-26'!Q5</f>
        <v>0</v>
      </c>
      <c r="S5" s="10">
        <f ca="1">'PRESIDENCIA 25-26'!R5</f>
        <v>0</v>
      </c>
      <c r="T5" s="10">
        <f ca="1">'PRESIDENCIA 25-26'!S5</f>
        <v>0</v>
      </c>
      <c r="U5" s="11">
        <f ca="1">'PRESIDENCIA 25-26'!T5</f>
        <v>0</v>
      </c>
    </row>
    <row r="6" spans="1:21" ht="39.75" customHeight="1">
      <c r="A6" s="53"/>
      <c r="B6" s="51"/>
      <c r="C6" s="7" t="s">
        <v>28</v>
      </c>
      <c r="D6" s="8">
        <f>'PRESIDENCIA 25-26'!C6</f>
        <v>78</v>
      </c>
      <c r="E6" s="8" t="str">
        <f>'PRESIDENCIA 25-26'!D6</f>
        <v>NÚM. ACUERDOS</v>
      </c>
      <c r="F6" s="8" t="str">
        <f>'PRESIDENCIA 25-26'!E6</f>
        <v>ASCENDENTE</v>
      </c>
      <c r="G6" s="8" t="str">
        <f>'PRESIDENCIA 25-26'!F6</f>
        <v>MINUTA DE REUNION</v>
      </c>
      <c r="H6" s="9">
        <f ca="1">'PRESIDENCIA 25-26'!G6</f>
        <v>0</v>
      </c>
      <c r="I6" s="10">
        <f ca="1">'PRESIDENCIA 25-26'!H6</f>
        <v>0</v>
      </c>
      <c r="J6" s="10">
        <f ca="1">'PRESIDENCIA 25-26'!I6</f>
        <v>0</v>
      </c>
      <c r="K6" s="10">
        <f ca="1">'PRESIDENCIA 25-26'!J6</f>
        <v>0</v>
      </c>
      <c r="L6" s="10">
        <f ca="1">'PRESIDENCIA 25-26'!K6</f>
        <v>0</v>
      </c>
      <c r="M6" s="10">
        <f ca="1">'PRESIDENCIA 25-26'!L6</f>
        <v>0</v>
      </c>
      <c r="N6" s="10">
        <f ca="1">'PRESIDENCIA 25-26'!M6</f>
        <v>0</v>
      </c>
      <c r="O6" s="10">
        <f ca="1">'PRESIDENCIA 25-26'!N6</f>
        <v>0</v>
      </c>
      <c r="P6" s="10">
        <f ca="1">'PRESIDENCIA 25-26'!O6</f>
        <v>0</v>
      </c>
      <c r="Q6" s="10">
        <f ca="1">'PRESIDENCIA 25-26'!P6</f>
        <v>0</v>
      </c>
      <c r="R6" s="10">
        <f ca="1">'PRESIDENCIA 25-26'!Q6</f>
        <v>0</v>
      </c>
      <c r="S6" s="10">
        <f ca="1">'PRESIDENCIA 25-26'!R6</f>
        <v>0</v>
      </c>
      <c r="T6" s="10">
        <f ca="1">'PRESIDENCIA 25-26'!S6</f>
        <v>0</v>
      </c>
      <c r="U6" s="11">
        <f ca="1">'PRESIDENCIA 25-26'!T6</f>
        <v>0</v>
      </c>
    </row>
    <row r="7" spans="1:21" ht="39.75" customHeight="1">
      <c r="A7" s="53"/>
      <c r="B7" s="55" t="s">
        <v>29</v>
      </c>
      <c r="C7" s="7" t="s">
        <v>30</v>
      </c>
      <c r="D7" s="8">
        <f>'PRESIDENCIA 25-26'!C7</f>
        <v>582</v>
      </c>
      <c r="E7" s="8" t="str">
        <f>'PRESIDENCIA 25-26'!D7</f>
        <v>NÚM. DE SOLICITUDES</v>
      </c>
      <c r="F7" s="8" t="str">
        <f>'PRESIDENCIA 25-26'!E7</f>
        <v>ASCENDENTE</v>
      </c>
      <c r="G7" s="8" t="str">
        <f>'PRESIDENCIA 25-26'!F7</f>
        <v>PNT</v>
      </c>
      <c r="H7" s="9">
        <f ca="1">'PRESIDENCIA 25-26'!G7</f>
        <v>8.5910652920962196</v>
      </c>
      <c r="I7" s="10">
        <f ca="1">'PRESIDENCIA 25-26'!H7</f>
        <v>31</v>
      </c>
      <c r="J7" s="10">
        <f ca="1">'PRESIDENCIA 25-26'!I7</f>
        <v>19</v>
      </c>
      <c r="K7" s="10">
        <f ca="1">'PRESIDENCIA 25-26'!J7</f>
        <v>0</v>
      </c>
      <c r="L7" s="10">
        <f ca="1">'PRESIDENCIA 25-26'!K7</f>
        <v>0</v>
      </c>
      <c r="M7" s="10">
        <f ca="1">'PRESIDENCIA 25-26'!L7</f>
        <v>0</v>
      </c>
      <c r="N7" s="10">
        <f ca="1">'PRESIDENCIA 25-26'!M7</f>
        <v>0</v>
      </c>
      <c r="O7" s="10">
        <f ca="1">'PRESIDENCIA 25-26'!N7</f>
        <v>0</v>
      </c>
      <c r="P7" s="10">
        <f ca="1">'PRESIDENCIA 25-26'!O7</f>
        <v>0</v>
      </c>
      <c r="Q7" s="10">
        <f ca="1">'PRESIDENCIA 25-26'!P7</f>
        <v>0</v>
      </c>
      <c r="R7" s="10">
        <f ca="1">'PRESIDENCIA 25-26'!Q7</f>
        <v>0</v>
      </c>
      <c r="S7" s="10">
        <f ca="1">'PRESIDENCIA 25-26'!R7</f>
        <v>0</v>
      </c>
      <c r="T7" s="10">
        <f ca="1">'PRESIDENCIA 25-26'!S7</f>
        <v>0</v>
      </c>
      <c r="U7" s="11">
        <f ca="1">'PRESIDENCIA 25-26'!T7</f>
        <v>50</v>
      </c>
    </row>
    <row r="8" spans="1:21" ht="39.75" customHeight="1">
      <c r="A8" s="53"/>
      <c r="B8" s="51"/>
      <c r="C8" s="7" t="s">
        <v>31</v>
      </c>
      <c r="D8" s="8">
        <f>'PRESIDENCIA 25-26'!C8</f>
        <v>23</v>
      </c>
      <c r="E8" s="8" t="str">
        <f>'PRESIDENCIA 25-26'!D8</f>
        <v>NÚM. DE CAPACITACIONES</v>
      </c>
      <c r="F8" s="8" t="str">
        <f>'PRESIDENCIA 25-26'!E8</f>
        <v>ASCENDENTE</v>
      </c>
      <c r="G8" s="8" t="str">
        <f>'PRESIDENCIA 25-26'!F8</f>
        <v>PROGRAMA ANUAL DE CAPACITACIONES</v>
      </c>
      <c r="H8" s="9">
        <f ca="1">'PRESIDENCIA 25-26'!G8</f>
        <v>13.043478260869565</v>
      </c>
      <c r="I8" s="10">
        <f ca="1">'PRESIDENCIA 25-26'!H8</f>
        <v>2</v>
      </c>
      <c r="J8" s="10">
        <f ca="1">'PRESIDENCIA 25-26'!I8</f>
        <v>1</v>
      </c>
      <c r="K8" s="10">
        <f ca="1">'PRESIDENCIA 25-26'!J8</f>
        <v>0</v>
      </c>
      <c r="L8" s="10">
        <f ca="1">'PRESIDENCIA 25-26'!K8</f>
        <v>0</v>
      </c>
      <c r="M8" s="10">
        <f ca="1">'PRESIDENCIA 25-26'!L8</f>
        <v>0</v>
      </c>
      <c r="N8" s="10">
        <f ca="1">'PRESIDENCIA 25-26'!M8</f>
        <v>0</v>
      </c>
      <c r="O8" s="10">
        <f ca="1">'PRESIDENCIA 25-26'!N8</f>
        <v>0</v>
      </c>
      <c r="P8" s="10">
        <f ca="1">'PRESIDENCIA 25-26'!O8</f>
        <v>0</v>
      </c>
      <c r="Q8" s="10">
        <f ca="1">'PRESIDENCIA 25-26'!P8</f>
        <v>0</v>
      </c>
      <c r="R8" s="10">
        <f ca="1">'PRESIDENCIA 25-26'!Q8</f>
        <v>0</v>
      </c>
      <c r="S8" s="10">
        <f ca="1">'PRESIDENCIA 25-26'!R8</f>
        <v>0</v>
      </c>
      <c r="T8" s="10">
        <f ca="1">'PRESIDENCIA 25-26'!S8</f>
        <v>0</v>
      </c>
      <c r="U8" s="11">
        <f ca="1">'PRESIDENCIA 25-26'!T8</f>
        <v>3</v>
      </c>
    </row>
    <row r="9" spans="1:21" ht="39.75" customHeight="1">
      <c r="A9" s="53"/>
      <c r="B9" s="55" t="s">
        <v>32</v>
      </c>
      <c r="C9" s="28" t="s">
        <v>489</v>
      </c>
      <c r="D9" s="8">
        <f>'PRESIDENCIA 25-26'!C9</f>
        <v>603</v>
      </c>
      <c r="E9" s="8" t="str">
        <f>'PRESIDENCIA 25-26'!D9</f>
        <v>NÚM. DE NOTAS PUBLICADAS</v>
      </c>
      <c r="F9" s="8" t="str">
        <f>'PRESIDENCIA 25-26'!E9</f>
        <v>ASCENDENTE</v>
      </c>
      <c r="G9" s="8" t="str">
        <f>'PRESIDENCIA 25-26'!F9</f>
        <v>BITACORA OPERATIVA</v>
      </c>
      <c r="H9" s="9">
        <f ca="1">'PRESIDENCIA 25-26'!G9</f>
        <v>0</v>
      </c>
      <c r="I9" s="10">
        <f ca="1">'PRESIDENCIA 25-26'!H9</f>
        <v>0</v>
      </c>
      <c r="J9" s="10">
        <f ca="1">'PRESIDENCIA 25-26'!I9</f>
        <v>0</v>
      </c>
      <c r="K9" s="10">
        <f ca="1">'PRESIDENCIA 25-26'!J9</f>
        <v>0</v>
      </c>
      <c r="L9" s="10">
        <f ca="1">'PRESIDENCIA 25-26'!K9</f>
        <v>0</v>
      </c>
      <c r="M9" s="10">
        <f ca="1">'PRESIDENCIA 25-26'!L9</f>
        <v>0</v>
      </c>
      <c r="N9" s="10">
        <f ca="1">'PRESIDENCIA 25-26'!M9</f>
        <v>0</v>
      </c>
      <c r="O9" s="10">
        <f ca="1">'PRESIDENCIA 25-26'!N9</f>
        <v>0</v>
      </c>
      <c r="P9" s="10">
        <f ca="1">'PRESIDENCIA 25-26'!O9</f>
        <v>0</v>
      </c>
      <c r="Q9" s="10">
        <f ca="1">'PRESIDENCIA 25-26'!P9</f>
        <v>0</v>
      </c>
      <c r="R9" s="10">
        <f ca="1">'PRESIDENCIA 25-26'!Q9</f>
        <v>0</v>
      </c>
      <c r="S9" s="10">
        <f ca="1">'PRESIDENCIA 25-26'!R9</f>
        <v>0</v>
      </c>
      <c r="T9" s="10">
        <f ca="1">'PRESIDENCIA 25-26'!S9</f>
        <v>0</v>
      </c>
      <c r="U9" s="11">
        <f ca="1">'PRESIDENCIA 25-26'!T9</f>
        <v>0</v>
      </c>
    </row>
    <row r="10" spans="1:21" ht="39.75" customHeight="1">
      <c r="A10" s="53"/>
      <c r="B10" s="53"/>
      <c r="C10" s="7" t="s">
        <v>34</v>
      </c>
      <c r="D10" s="8">
        <f>'PRESIDENCIA 25-26'!C10</f>
        <v>1141</v>
      </c>
      <c r="E10" s="8" t="str">
        <f>'PRESIDENCIA 25-26'!D10</f>
        <v>NÚM. DE DISEÑOS REALIZADOS</v>
      </c>
      <c r="F10" s="8" t="str">
        <f>'PRESIDENCIA 25-26'!E10</f>
        <v>ASCENDENTE</v>
      </c>
      <c r="G10" s="8" t="str">
        <f>'PRESIDENCIA 25-26'!F10</f>
        <v>BITACORA OPERATIVA</v>
      </c>
      <c r="H10" s="9">
        <f ca="1">'PRESIDENCIA 25-26'!G10</f>
        <v>0</v>
      </c>
      <c r="I10" s="10">
        <f ca="1">'PRESIDENCIA 25-26'!H10</f>
        <v>0</v>
      </c>
      <c r="J10" s="10">
        <f ca="1">'PRESIDENCIA 25-26'!I10</f>
        <v>0</v>
      </c>
      <c r="K10" s="10">
        <f ca="1">'PRESIDENCIA 25-26'!J10</f>
        <v>0</v>
      </c>
      <c r="L10" s="10">
        <f ca="1">'PRESIDENCIA 25-26'!K10</f>
        <v>0</v>
      </c>
      <c r="M10" s="10">
        <f ca="1">'PRESIDENCIA 25-26'!L10</f>
        <v>0</v>
      </c>
      <c r="N10" s="10">
        <f ca="1">'PRESIDENCIA 25-26'!M10</f>
        <v>0</v>
      </c>
      <c r="O10" s="10">
        <f ca="1">'PRESIDENCIA 25-26'!N10</f>
        <v>0</v>
      </c>
      <c r="P10" s="10">
        <f ca="1">'PRESIDENCIA 25-26'!O10</f>
        <v>0</v>
      </c>
      <c r="Q10" s="10">
        <f ca="1">'PRESIDENCIA 25-26'!P10</f>
        <v>0</v>
      </c>
      <c r="R10" s="10">
        <f ca="1">'PRESIDENCIA 25-26'!Q10</f>
        <v>0</v>
      </c>
      <c r="S10" s="10">
        <f ca="1">'PRESIDENCIA 25-26'!R10</f>
        <v>0</v>
      </c>
      <c r="T10" s="10">
        <f ca="1">'PRESIDENCIA 25-26'!S10</f>
        <v>0</v>
      </c>
      <c r="U10" s="11">
        <f ca="1">'PRESIDENCIA 25-26'!T10</f>
        <v>0</v>
      </c>
    </row>
    <row r="11" spans="1:21" ht="39.75" customHeight="1">
      <c r="A11" s="53"/>
      <c r="B11" s="51"/>
      <c r="C11" s="7" t="s">
        <v>35</v>
      </c>
      <c r="D11" s="8">
        <f>'PRESIDENCIA 25-26'!C11</f>
        <v>1971</v>
      </c>
      <c r="E11" s="8" t="str">
        <f>'PRESIDENCIA 25-26'!D11</f>
        <v>NÚM. DE PUBLICCIONES</v>
      </c>
      <c r="F11" s="8" t="str">
        <f>'PRESIDENCIA 25-26'!E11</f>
        <v>ASCENDENTE</v>
      </c>
      <c r="G11" s="8" t="str">
        <f>'PRESIDENCIA 25-26'!F11</f>
        <v>BITACORA OPERATIVA</v>
      </c>
      <c r="H11" s="9">
        <f ca="1">'PRESIDENCIA 25-26'!G11</f>
        <v>0</v>
      </c>
      <c r="I11" s="10">
        <f ca="1">'PRESIDENCIA 25-26'!H11</f>
        <v>0</v>
      </c>
      <c r="J11" s="10">
        <f ca="1">'PRESIDENCIA 25-26'!I11</f>
        <v>0</v>
      </c>
      <c r="K11" s="10">
        <f ca="1">'PRESIDENCIA 25-26'!J11</f>
        <v>0</v>
      </c>
      <c r="L11" s="10">
        <f ca="1">'PRESIDENCIA 25-26'!K11</f>
        <v>0</v>
      </c>
      <c r="M11" s="10">
        <f ca="1">'PRESIDENCIA 25-26'!L11</f>
        <v>0</v>
      </c>
      <c r="N11" s="10">
        <f ca="1">'PRESIDENCIA 25-26'!M11</f>
        <v>0</v>
      </c>
      <c r="O11" s="10">
        <f ca="1">'PRESIDENCIA 25-26'!N11</f>
        <v>0</v>
      </c>
      <c r="P11" s="10">
        <f ca="1">'PRESIDENCIA 25-26'!O11</f>
        <v>0</v>
      </c>
      <c r="Q11" s="10">
        <f ca="1">'PRESIDENCIA 25-26'!P11</f>
        <v>0</v>
      </c>
      <c r="R11" s="10">
        <f ca="1">'PRESIDENCIA 25-26'!Q11</f>
        <v>0</v>
      </c>
      <c r="S11" s="10">
        <f ca="1">'PRESIDENCIA 25-26'!R11</f>
        <v>0</v>
      </c>
      <c r="T11" s="10">
        <f ca="1">'PRESIDENCIA 25-26'!S11</f>
        <v>0</v>
      </c>
      <c r="U11" s="11">
        <f ca="1">'PRESIDENCIA 25-26'!T11</f>
        <v>0</v>
      </c>
    </row>
    <row r="12" spans="1:21" ht="39.75" customHeight="1">
      <c r="A12" s="53"/>
      <c r="B12" s="55" t="s">
        <v>36</v>
      </c>
      <c r="C12" s="7" t="s">
        <v>37</v>
      </c>
      <c r="D12" s="8">
        <f>'PRESIDENCIA 25-26'!C12</f>
        <v>28</v>
      </c>
      <c r="E12" s="8" t="str">
        <f>'PRESIDENCIA 25-26'!D12</f>
        <v>NÚM. DE PROGRAMAS IMPLEMENTADOS</v>
      </c>
      <c r="F12" s="8" t="str">
        <f>'PRESIDENCIA 25-26'!E12</f>
        <v>ASCENDENTE</v>
      </c>
      <c r="G12" s="8" t="str">
        <f>'PRESIDENCIA 25-26'!F12</f>
        <v>PADRON UNICO DE BENEFICIADOS</v>
      </c>
      <c r="H12" s="9">
        <f ca="1">'PRESIDENCIA 25-26'!G12</f>
        <v>1217.8571428571429</v>
      </c>
      <c r="I12" s="10">
        <f ca="1">'PRESIDENCIA 25-26'!H12</f>
        <v>193</v>
      </c>
      <c r="J12" s="10">
        <f ca="1">'PRESIDENCIA 25-26'!I12</f>
        <v>148</v>
      </c>
      <c r="K12" s="10">
        <f ca="1">'PRESIDENCIA 25-26'!J12</f>
        <v>0</v>
      </c>
      <c r="L12" s="10">
        <f ca="1">'PRESIDENCIA 25-26'!K12</f>
        <v>0</v>
      </c>
      <c r="M12" s="10">
        <f ca="1">'PRESIDENCIA 25-26'!L12</f>
        <v>0</v>
      </c>
      <c r="N12" s="10">
        <f ca="1">'PRESIDENCIA 25-26'!M12</f>
        <v>0</v>
      </c>
      <c r="O12" s="10">
        <f ca="1">'PRESIDENCIA 25-26'!N12</f>
        <v>0</v>
      </c>
      <c r="P12" s="10">
        <f ca="1">'PRESIDENCIA 25-26'!O12</f>
        <v>0</v>
      </c>
      <c r="Q12" s="10">
        <f ca="1">'PRESIDENCIA 25-26'!P12</f>
        <v>0</v>
      </c>
      <c r="R12" s="10">
        <f ca="1">'PRESIDENCIA 25-26'!Q12</f>
        <v>0</v>
      </c>
      <c r="S12" s="10">
        <f ca="1">'PRESIDENCIA 25-26'!R12</f>
        <v>0</v>
      </c>
      <c r="T12" s="10">
        <f ca="1">'PRESIDENCIA 25-26'!S12</f>
        <v>0</v>
      </c>
      <c r="U12" s="11">
        <f ca="1">'PRESIDENCIA 25-26'!T12</f>
        <v>341</v>
      </c>
    </row>
    <row r="13" spans="1:21" ht="39.75" customHeight="1">
      <c r="A13" s="51"/>
      <c r="B13" s="51"/>
      <c r="C13" s="7" t="s">
        <v>38</v>
      </c>
      <c r="D13" s="8">
        <f>'PRESIDENCIA 25-26'!C13</f>
        <v>3097</v>
      </c>
      <c r="E13" s="8" t="str">
        <f>'PRESIDENCIA 25-26'!D13</f>
        <v>NUM. PERSONAS</v>
      </c>
      <c r="F13" s="8" t="str">
        <f>'PRESIDENCIA 25-26'!E13</f>
        <v>ASCENDENTE</v>
      </c>
      <c r="G13" s="8" t="str">
        <f>'PRESIDENCIA 25-26'!F13</f>
        <v>PADRON UNICO DE BENEFICIADOS</v>
      </c>
      <c r="H13" s="9">
        <f ca="1">'PRESIDENCIA 25-26'!G13</f>
        <v>16.59670649015176</v>
      </c>
      <c r="I13" s="10">
        <f ca="1">'PRESIDENCIA 25-26'!H13</f>
        <v>442</v>
      </c>
      <c r="J13" s="10">
        <f ca="1">'PRESIDENCIA 25-26'!I13</f>
        <v>72</v>
      </c>
      <c r="K13" s="10">
        <f ca="1">'PRESIDENCIA 25-26'!J13</f>
        <v>0</v>
      </c>
      <c r="L13" s="10">
        <f ca="1">'PRESIDENCIA 25-26'!K13</f>
        <v>0</v>
      </c>
      <c r="M13" s="10">
        <f ca="1">'PRESIDENCIA 25-26'!L13</f>
        <v>0</v>
      </c>
      <c r="N13" s="10">
        <f ca="1">'PRESIDENCIA 25-26'!M13</f>
        <v>0</v>
      </c>
      <c r="O13" s="10">
        <f ca="1">'PRESIDENCIA 25-26'!N13</f>
        <v>0</v>
      </c>
      <c r="P13" s="10">
        <f ca="1">'PRESIDENCIA 25-26'!O13</f>
        <v>0</v>
      </c>
      <c r="Q13" s="10">
        <f ca="1">'PRESIDENCIA 25-26'!P13</f>
        <v>0</v>
      </c>
      <c r="R13" s="10">
        <f ca="1">'PRESIDENCIA 25-26'!Q13</f>
        <v>0</v>
      </c>
      <c r="S13" s="10">
        <f ca="1">'PRESIDENCIA 25-26'!R13</f>
        <v>0</v>
      </c>
      <c r="T13" s="10">
        <f ca="1">'PRESIDENCIA 25-26'!S13</f>
        <v>0</v>
      </c>
      <c r="U13" s="11">
        <f ca="1">'PRESIDENCIA 25-26'!T13</f>
        <v>514</v>
      </c>
    </row>
    <row r="14" spans="1:21" ht="39.75" customHeight="1">
      <c r="A14" s="52" t="s">
        <v>39</v>
      </c>
      <c r="B14" s="52" t="s">
        <v>40</v>
      </c>
      <c r="C14" s="12" t="s">
        <v>37</v>
      </c>
      <c r="D14" s="8">
        <v>30</v>
      </c>
      <c r="E14" s="10" t="str">
        <f ca="1">SIN2PERIODO!C2</f>
        <v>PROGRAMAS</v>
      </c>
      <c r="F14" s="10" t="str">
        <f ca="1">SIN2PERIODO!D2</f>
        <v>ASCENDENTE</v>
      </c>
      <c r="G14" s="10" t="str">
        <f ca="1">SIN2PERIODO!E2</f>
        <v>PROGRAMA OPERATIVO ANUAL</v>
      </c>
      <c r="H14" s="9">
        <f ca="1">SIN2PERIODO!F2</f>
        <v>0</v>
      </c>
      <c r="I14" s="10">
        <f ca="1">SIN2PERIODO!G2</f>
        <v>0</v>
      </c>
      <c r="J14" s="10">
        <f ca="1">SIN2PERIODO!H2</f>
        <v>0</v>
      </c>
      <c r="K14" s="10">
        <f ca="1">SIN2PERIODO!I2</f>
        <v>0</v>
      </c>
      <c r="L14" s="10">
        <f ca="1">SIN2PERIODO!J2</f>
        <v>0</v>
      </c>
      <c r="M14" s="10">
        <f ca="1">SIN2PERIODO!K2</f>
        <v>0</v>
      </c>
      <c r="N14" s="10">
        <f ca="1">SIN2PERIODO!L2</f>
        <v>0</v>
      </c>
      <c r="O14" s="10">
        <f ca="1">SIN2PERIODO!M2</f>
        <v>0</v>
      </c>
      <c r="P14" s="10">
        <f ca="1">SIN2PERIODO!N2</f>
        <v>0</v>
      </c>
      <c r="Q14" s="10">
        <f ca="1">SIN2PERIODO!O2</f>
        <v>0</v>
      </c>
      <c r="R14" s="10">
        <f ca="1">SIN2PERIODO!P2</f>
        <v>0</v>
      </c>
      <c r="S14" s="10">
        <f ca="1">SIN2PERIODO!Q2</f>
        <v>0</v>
      </c>
      <c r="T14" s="10">
        <f ca="1">SIN2PERIODO!R2</f>
        <v>0</v>
      </c>
      <c r="U14" s="11">
        <f ca="1">SIN2PERIODO!S2</f>
        <v>0</v>
      </c>
    </row>
    <row r="15" spans="1:21" ht="39.75" customHeight="1">
      <c r="A15" s="53"/>
      <c r="B15" s="51"/>
      <c r="C15" s="12" t="s">
        <v>38</v>
      </c>
      <c r="D15" s="8">
        <v>3674</v>
      </c>
      <c r="E15" s="10" t="str">
        <f ca="1">SIN2PERIODO!C3</f>
        <v>NÚM. DE PERSONAS</v>
      </c>
      <c r="F15" s="10" t="str">
        <f ca="1">SIN2PERIODO!D3</f>
        <v>ASCENDENTE</v>
      </c>
      <c r="G15" s="10" t="str">
        <f ca="1">SIN2PERIODO!E3</f>
        <v>PROGRAMA OPERATIVO ANUAL</v>
      </c>
      <c r="H15" s="9">
        <f ca="1">SIN2PERIODO!F3</f>
        <v>0</v>
      </c>
      <c r="I15" s="10">
        <f ca="1">SIN2PERIODO!G3</f>
        <v>0</v>
      </c>
      <c r="J15" s="10">
        <f ca="1">SIN2PERIODO!H3</f>
        <v>0</v>
      </c>
      <c r="K15" s="10">
        <f ca="1">SIN2PERIODO!I3</f>
        <v>0</v>
      </c>
      <c r="L15" s="10">
        <f ca="1">SIN2PERIODO!J3</f>
        <v>0</v>
      </c>
      <c r="M15" s="10">
        <f ca="1">SIN2PERIODO!K3</f>
        <v>0</v>
      </c>
      <c r="N15" s="10">
        <f ca="1">SIN2PERIODO!L3</f>
        <v>0</v>
      </c>
      <c r="O15" s="10">
        <f ca="1">SIN2PERIODO!M3</f>
        <v>0</v>
      </c>
      <c r="P15" s="10">
        <f ca="1">SIN2PERIODO!N3</f>
        <v>0</v>
      </c>
      <c r="Q15" s="10">
        <f ca="1">SIN2PERIODO!O3</f>
        <v>0</v>
      </c>
      <c r="R15" s="10">
        <f ca="1">SIN2PERIODO!P3</f>
        <v>0</v>
      </c>
      <c r="S15" s="10">
        <f ca="1">SIN2PERIODO!Q3</f>
        <v>0</v>
      </c>
      <c r="T15" s="10">
        <f ca="1">SIN2PERIODO!R3</f>
        <v>0</v>
      </c>
      <c r="U15" s="11">
        <f ca="1">SIN2PERIODO!S3</f>
        <v>0</v>
      </c>
    </row>
    <row r="16" spans="1:21" ht="39.75" customHeight="1">
      <c r="A16" s="53"/>
      <c r="B16" s="13" t="s">
        <v>41</v>
      </c>
      <c r="C16" s="12" t="s">
        <v>42</v>
      </c>
      <c r="D16" s="8">
        <v>173</v>
      </c>
      <c r="E16" s="10" t="str">
        <f ca="1">SIN2PERIODO!C4</f>
        <v>JUICIOS ATENDIDOS</v>
      </c>
      <c r="F16" s="10" t="str">
        <f ca="1">SIN2PERIODO!D4</f>
        <v>ASCENDENTE</v>
      </c>
      <c r="G16" s="10" t="str">
        <f ca="1">SIN2PERIODO!E4</f>
        <v>BITACORA OPERATIVA</v>
      </c>
      <c r="H16" s="9">
        <f ca="1">SIN2PERIODO!F4</f>
        <v>0</v>
      </c>
      <c r="I16" s="10">
        <f ca="1">SIN2PERIODO!G4</f>
        <v>0</v>
      </c>
      <c r="J16" s="10">
        <f ca="1">SIN2PERIODO!H4</f>
        <v>0</v>
      </c>
      <c r="K16" s="10">
        <f ca="1">SIN2PERIODO!I4</f>
        <v>0</v>
      </c>
      <c r="L16" s="10">
        <f ca="1">SIN2PERIODO!J4</f>
        <v>0</v>
      </c>
      <c r="M16" s="10">
        <f ca="1">SIN2PERIODO!K4</f>
        <v>0</v>
      </c>
      <c r="N16" s="10">
        <f ca="1">SIN2PERIODO!L4</f>
        <v>0</v>
      </c>
      <c r="O16" s="10">
        <f ca="1">SIN2PERIODO!M4</f>
        <v>0</v>
      </c>
      <c r="P16" s="10">
        <f ca="1">SIN2PERIODO!N4</f>
        <v>0</v>
      </c>
      <c r="Q16" s="10">
        <f ca="1">SIN2PERIODO!O4</f>
        <v>0</v>
      </c>
      <c r="R16" s="10">
        <f ca="1">SIN2PERIODO!P4</f>
        <v>0</v>
      </c>
      <c r="S16" s="10">
        <f ca="1">SIN2PERIODO!Q4</f>
        <v>0</v>
      </c>
      <c r="T16" s="10">
        <f ca="1">SIN2PERIODO!R4</f>
        <v>0</v>
      </c>
      <c r="U16" s="11">
        <f ca="1">SIN2PERIODO!S4</f>
        <v>0</v>
      </c>
    </row>
    <row r="17" spans="1:21" ht="39.75" customHeight="1">
      <c r="A17" s="53"/>
      <c r="B17" s="52" t="s">
        <v>43</v>
      </c>
      <c r="C17" s="12" t="s">
        <v>44</v>
      </c>
      <c r="D17" s="8">
        <v>678</v>
      </c>
      <c r="E17" s="10" t="str">
        <f ca="1">SIN2PERIODO!C5</f>
        <v xml:space="preserve">ASESORIAS </v>
      </c>
      <c r="F17" s="10" t="str">
        <f ca="1">SIN2PERIODO!D5</f>
        <v>ASCENDENTE</v>
      </c>
      <c r="G17" s="10" t="str">
        <f ca="1">SIN2PERIODO!E5</f>
        <v>BITACORA OPERATIVA</v>
      </c>
      <c r="H17" s="9">
        <f ca="1">SIN2PERIODO!F5</f>
        <v>0</v>
      </c>
      <c r="I17" s="10">
        <f ca="1">SIN2PERIODO!G5</f>
        <v>0</v>
      </c>
      <c r="J17" s="10">
        <f ca="1">SIN2PERIODO!H5</f>
        <v>0</v>
      </c>
      <c r="K17" s="10">
        <f ca="1">SIN2PERIODO!I5</f>
        <v>0</v>
      </c>
      <c r="L17" s="10">
        <f ca="1">SIN2PERIODO!J5</f>
        <v>0</v>
      </c>
      <c r="M17" s="10">
        <f ca="1">SIN2PERIODO!K5</f>
        <v>0</v>
      </c>
      <c r="N17" s="10">
        <f ca="1">SIN2PERIODO!L5</f>
        <v>0</v>
      </c>
      <c r="O17" s="10">
        <f ca="1">SIN2PERIODO!M5</f>
        <v>0</v>
      </c>
      <c r="P17" s="10">
        <f ca="1">SIN2PERIODO!N5</f>
        <v>0</v>
      </c>
      <c r="Q17" s="10">
        <f ca="1">SIN2PERIODO!O5</f>
        <v>0</v>
      </c>
      <c r="R17" s="10">
        <f ca="1">SIN2PERIODO!P5</f>
        <v>0</v>
      </c>
      <c r="S17" s="10">
        <f ca="1">SIN2PERIODO!Q5</f>
        <v>0</v>
      </c>
      <c r="T17" s="10">
        <f ca="1">SIN2PERIODO!R5</f>
        <v>0</v>
      </c>
      <c r="U17" s="11">
        <f ca="1">SIN2PERIODO!S5</f>
        <v>0</v>
      </c>
    </row>
    <row r="18" spans="1:21" ht="39.75" customHeight="1">
      <c r="A18" s="53"/>
      <c r="B18" s="51"/>
      <c r="C18" s="12" t="s">
        <v>45</v>
      </c>
      <c r="D18" s="8">
        <v>16</v>
      </c>
      <c r="E18" s="10" t="str">
        <f ca="1">SIN2PERIODO!C6</f>
        <v>NÚM. DE PERSONAS</v>
      </c>
      <c r="F18" s="10" t="str">
        <f ca="1">SIN2PERIODO!D6</f>
        <v>ASCENDENTE</v>
      </c>
      <c r="G18" s="10" t="str">
        <f ca="1">SIN2PERIODO!E6</f>
        <v>BITACORA OPERATIVA</v>
      </c>
      <c r="H18" s="9">
        <f ca="1">SIN2PERIODO!F6</f>
        <v>0</v>
      </c>
      <c r="I18" s="10">
        <f ca="1">SIN2PERIODO!G6</f>
        <v>0</v>
      </c>
      <c r="J18" s="10">
        <f ca="1">SIN2PERIODO!H6</f>
        <v>0</v>
      </c>
      <c r="K18" s="10">
        <f ca="1">SIN2PERIODO!I6</f>
        <v>0</v>
      </c>
      <c r="L18" s="10">
        <f ca="1">SIN2PERIODO!J6</f>
        <v>0</v>
      </c>
      <c r="M18" s="10">
        <f ca="1">SIN2PERIODO!K6</f>
        <v>0</v>
      </c>
      <c r="N18" s="10">
        <f ca="1">SIN2PERIODO!L6</f>
        <v>0</v>
      </c>
      <c r="O18" s="10">
        <f ca="1">SIN2PERIODO!M6</f>
        <v>0</v>
      </c>
      <c r="P18" s="10">
        <f ca="1">SIN2PERIODO!N6</f>
        <v>0</v>
      </c>
      <c r="Q18" s="10">
        <f ca="1">SIN2PERIODO!O6</f>
        <v>0</v>
      </c>
      <c r="R18" s="10">
        <f ca="1">SIN2PERIODO!P6</f>
        <v>0</v>
      </c>
      <c r="S18" s="10">
        <f ca="1">SIN2PERIODO!Q6</f>
        <v>0</v>
      </c>
      <c r="T18" s="10">
        <f ca="1">SIN2PERIODO!R6</f>
        <v>0</v>
      </c>
      <c r="U18" s="11">
        <f ca="1">SIN2PERIODO!S6</f>
        <v>0</v>
      </c>
    </row>
    <row r="19" spans="1:21" ht="39.75" customHeight="1">
      <c r="A19" s="53"/>
      <c r="B19" s="52" t="s">
        <v>46</v>
      </c>
      <c r="C19" s="12" t="s">
        <v>47</v>
      </c>
      <c r="D19" s="8">
        <v>327</v>
      </c>
      <c r="E19" s="10" t="str">
        <f ca="1">SIN2PERIODO!C7</f>
        <v>AUTOS</v>
      </c>
      <c r="F19" s="10" t="str">
        <f ca="1">SIN2PERIODO!D7</f>
        <v>ASCENDENTE</v>
      </c>
      <c r="G19" s="10" t="str">
        <f ca="1">SIN2PERIODO!E7</f>
        <v>BITACORA OPERATIVA</v>
      </c>
      <c r="H19" s="9">
        <f ca="1">SIN2PERIODO!F7</f>
        <v>0</v>
      </c>
      <c r="I19" s="10">
        <f ca="1">SIN2PERIODO!G7</f>
        <v>0</v>
      </c>
      <c r="J19" s="10">
        <f ca="1">SIN2PERIODO!H7</f>
        <v>0</v>
      </c>
      <c r="K19" s="10">
        <f ca="1">SIN2PERIODO!I7</f>
        <v>0</v>
      </c>
      <c r="L19" s="10">
        <f ca="1">SIN2PERIODO!J7</f>
        <v>0</v>
      </c>
      <c r="M19" s="10">
        <f ca="1">SIN2PERIODO!K7</f>
        <v>0</v>
      </c>
      <c r="N19" s="10">
        <f ca="1">SIN2PERIODO!L7</f>
        <v>0</v>
      </c>
      <c r="O19" s="10">
        <f ca="1">SIN2PERIODO!M7</f>
        <v>0</v>
      </c>
      <c r="P19" s="10">
        <f ca="1">SIN2PERIODO!N7</f>
        <v>0</v>
      </c>
      <c r="Q19" s="10">
        <f ca="1">SIN2PERIODO!O7</f>
        <v>0</v>
      </c>
      <c r="R19" s="10">
        <f ca="1">SIN2PERIODO!P7</f>
        <v>0</v>
      </c>
      <c r="S19" s="10">
        <f ca="1">SIN2PERIODO!Q7</f>
        <v>0</v>
      </c>
      <c r="T19" s="10">
        <f ca="1">SIN2PERIODO!R7</f>
        <v>0</v>
      </c>
      <c r="U19" s="11">
        <f ca="1">SIN2PERIODO!S7</f>
        <v>0</v>
      </c>
    </row>
    <row r="20" spans="1:21" ht="39.75" customHeight="1">
      <c r="A20" s="53"/>
      <c r="B20" s="53"/>
      <c r="C20" s="12" t="s">
        <v>48</v>
      </c>
      <c r="D20" s="8">
        <v>833</v>
      </c>
      <c r="E20" s="10" t="str">
        <f ca="1">SIN2PERIODO!C8</f>
        <v>MOTOCICLETAS</v>
      </c>
      <c r="F20" s="10" t="str">
        <f ca="1">SIN2PERIODO!D8</f>
        <v>ASCENDENTE</v>
      </c>
      <c r="G20" s="10" t="str">
        <f ca="1">SIN2PERIODO!E8</f>
        <v>BITACORA OPERATIVA</v>
      </c>
      <c r="H20" s="9">
        <f ca="1">SIN2PERIODO!F8</f>
        <v>0</v>
      </c>
      <c r="I20" s="10">
        <f ca="1">SIN2PERIODO!G8</f>
        <v>0</v>
      </c>
      <c r="J20" s="10">
        <f ca="1">SIN2PERIODO!H8</f>
        <v>0</v>
      </c>
      <c r="K20" s="10">
        <f ca="1">SIN2PERIODO!I8</f>
        <v>0</v>
      </c>
      <c r="L20" s="10">
        <f ca="1">SIN2PERIODO!J8</f>
        <v>0</v>
      </c>
      <c r="M20" s="10">
        <f ca="1">SIN2PERIODO!K8</f>
        <v>0</v>
      </c>
      <c r="N20" s="10">
        <f ca="1">SIN2PERIODO!L8</f>
        <v>0</v>
      </c>
      <c r="O20" s="10">
        <f ca="1">SIN2PERIODO!M8</f>
        <v>0</v>
      </c>
      <c r="P20" s="10">
        <f ca="1">SIN2PERIODO!N8</f>
        <v>0</v>
      </c>
      <c r="Q20" s="10">
        <f ca="1">SIN2PERIODO!O8</f>
        <v>0</v>
      </c>
      <c r="R20" s="10">
        <f ca="1">SIN2PERIODO!P8</f>
        <v>0</v>
      </c>
      <c r="S20" s="10">
        <f ca="1">SIN2PERIODO!Q8</f>
        <v>0</v>
      </c>
      <c r="T20" s="10">
        <f ca="1">SIN2PERIODO!R8</f>
        <v>0</v>
      </c>
      <c r="U20" s="11">
        <f ca="1">SIN2PERIODO!S8</f>
        <v>0</v>
      </c>
    </row>
    <row r="21" spans="1:21" ht="39.75" customHeight="1">
      <c r="A21" s="51"/>
      <c r="B21" s="51"/>
      <c r="C21" s="12" t="s">
        <v>49</v>
      </c>
      <c r="D21" s="8">
        <v>488</v>
      </c>
      <c r="E21" s="10" t="str">
        <f ca="1">SIN2PERIODO!C9</f>
        <v>NÚM. DE PERSONAS</v>
      </c>
      <c r="F21" s="10" t="str">
        <f ca="1">SIN2PERIODO!D9</f>
        <v>DESCENDENTE</v>
      </c>
      <c r="G21" s="10" t="str">
        <f ca="1">SIN2PERIODO!E9</f>
        <v>BITACORA OPERATIVA</v>
      </c>
      <c r="H21" s="9">
        <f ca="1">SIN2PERIODO!F9</f>
        <v>0</v>
      </c>
      <c r="I21" s="10">
        <f ca="1">SIN2PERIODO!G9</f>
        <v>0</v>
      </c>
      <c r="J21" s="10">
        <f ca="1">SIN2PERIODO!H9</f>
        <v>0</v>
      </c>
      <c r="K21" s="10">
        <f ca="1">SIN2PERIODO!I9</f>
        <v>0</v>
      </c>
      <c r="L21" s="10">
        <f ca="1">SIN2PERIODO!J9</f>
        <v>0</v>
      </c>
      <c r="M21" s="10">
        <f ca="1">SIN2PERIODO!K9</f>
        <v>0</v>
      </c>
      <c r="N21" s="10">
        <f ca="1">SIN2PERIODO!L9</f>
        <v>0</v>
      </c>
      <c r="O21" s="10">
        <f ca="1">SIN2PERIODO!M9</f>
        <v>0</v>
      </c>
      <c r="P21" s="10">
        <f ca="1">SIN2PERIODO!N9</f>
        <v>0</v>
      </c>
      <c r="Q21" s="10">
        <f ca="1">SIN2PERIODO!O9</f>
        <v>0</v>
      </c>
      <c r="R21" s="10">
        <f ca="1">SIN2PERIODO!P9</f>
        <v>0</v>
      </c>
      <c r="S21" s="10">
        <f ca="1">SIN2PERIODO!Q9</f>
        <v>0</v>
      </c>
      <c r="T21" s="10">
        <f ca="1">SIN2PERIODO!R9</f>
        <v>0</v>
      </c>
      <c r="U21" s="11">
        <f ca="1">SIN2PERIODO!S9</f>
        <v>0</v>
      </c>
    </row>
    <row r="22" spans="1:21" ht="39.75" customHeight="1">
      <c r="A22" s="55" t="s">
        <v>50</v>
      </c>
      <c r="B22" s="55" t="s">
        <v>50</v>
      </c>
      <c r="C22" s="7" t="s">
        <v>51</v>
      </c>
      <c r="D22" s="8">
        <v>19</v>
      </c>
      <c r="E22" s="10" t="str">
        <f ca="1">SECGEN2PERIODO!C2</f>
        <v>SESIONES</v>
      </c>
      <c r="F22" s="10" t="str">
        <f ca="1">SECGEN2PERIODO!D2</f>
        <v>ASCENDENTE</v>
      </c>
      <c r="G22" s="10" t="str">
        <f ca="1">SECGEN2PERIODO!E2</f>
        <v>SESIONES PUBLICAS</v>
      </c>
      <c r="H22" s="9">
        <f ca="1">SECGEN2PERIODO!F2</f>
        <v>13.3333333333333</v>
      </c>
      <c r="I22" s="14">
        <f ca="1">SECGEN2PERIODO!G2</f>
        <v>1</v>
      </c>
      <c r="J22" s="14">
        <f ca="1">SECGEN2PERIODO!H2</f>
        <v>1</v>
      </c>
      <c r="K22" s="14">
        <f ca="1">SECGEN2PERIODO!I2</f>
        <v>0</v>
      </c>
      <c r="L22" s="14">
        <f ca="1">SECGEN2PERIODO!J2</f>
        <v>0</v>
      </c>
      <c r="M22" s="14">
        <f ca="1">SECGEN2PERIODO!K2</f>
        <v>0</v>
      </c>
      <c r="N22" s="14">
        <f ca="1">SECGEN2PERIODO!L2</f>
        <v>0</v>
      </c>
      <c r="O22" s="14">
        <f ca="1">SECGEN2PERIODO!M2</f>
        <v>0</v>
      </c>
      <c r="P22" s="14">
        <f ca="1">SECGEN2PERIODO!N2</f>
        <v>0</v>
      </c>
      <c r="Q22" s="14">
        <f ca="1">SECGEN2PERIODO!O2</f>
        <v>0</v>
      </c>
      <c r="R22" s="14">
        <f ca="1">SECGEN2PERIODO!P2</f>
        <v>0</v>
      </c>
      <c r="S22" s="14">
        <f ca="1">SECGEN2PERIODO!Q2</f>
        <v>0</v>
      </c>
      <c r="T22" s="14">
        <f ca="1">SECGEN2PERIODO!R2</f>
        <v>0</v>
      </c>
      <c r="U22" s="15">
        <f ca="1">SECGEN2PERIODO!S2</f>
        <v>2</v>
      </c>
    </row>
    <row r="23" spans="1:21" ht="39.75" customHeight="1">
      <c r="A23" s="53"/>
      <c r="B23" s="53"/>
      <c r="C23" s="7" t="s">
        <v>52</v>
      </c>
      <c r="D23" s="8">
        <v>1348</v>
      </c>
      <c r="E23" s="10" t="str">
        <f ca="1">SECGEN2PERIODO!C3</f>
        <v>CONSTANCIAS</v>
      </c>
      <c r="F23" s="10" t="str">
        <f ca="1">SECGEN2PERIODO!D3</f>
        <v>ASCENDENTE</v>
      </c>
      <c r="G23" s="10" t="str">
        <f ca="1">SECGEN2PERIODO!E3</f>
        <v>BITACORA DE ATENCION</v>
      </c>
      <c r="H23" s="9">
        <f ca="1">SECGEN2PERIODO!F3</f>
        <v>18</v>
      </c>
      <c r="I23" s="14">
        <f ca="1">SECGEN2PERIODO!G3</f>
        <v>103</v>
      </c>
      <c r="J23" s="14">
        <f ca="1">SECGEN2PERIODO!H3</f>
        <v>113</v>
      </c>
      <c r="K23" s="14">
        <f ca="1">SECGEN2PERIODO!I3</f>
        <v>0</v>
      </c>
      <c r="L23" s="14">
        <f ca="1">SECGEN2PERIODO!J3</f>
        <v>0</v>
      </c>
      <c r="M23" s="14">
        <f ca="1">SECGEN2PERIODO!K3</f>
        <v>0</v>
      </c>
      <c r="N23" s="14">
        <f ca="1">SECGEN2PERIODO!L3</f>
        <v>0</v>
      </c>
      <c r="O23" s="14">
        <f ca="1">SECGEN2PERIODO!M3</f>
        <v>0</v>
      </c>
      <c r="P23" s="14">
        <f ca="1">SECGEN2PERIODO!N3</f>
        <v>0</v>
      </c>
      <c r="Q23" s="14">
        <f ca="1">SECGEN2PERIODO!O3</f>
        <v>0</v>
      </c>
      <c r="R23" s="14">
        <f ca="1">SECGEN2PERIODO!P3</f>
        <v>0</v>
      </c>
      <c r="S23" s="14">
        <f ca="1">SECGEN2PERIODO!Q3</f>
        <v>0</v>
      </c>
      <c r="T23" s="14">
        <f ca="1">SECGEN2PERIODO!R3</f>
        <v>0</v>
      </c>
      <c r="U23" s="15">
        <f ca="1">SECGEN2PERIODO!S3</f>
        <v>216</v>
      </c>
    </row>
    <row r="24" spans="1:21" ht="39.75" customHeight="1">
      <c r="A24" s="53"/>
      <c r="B24" s="51"/>
      <c r="C24" s="7" t="s">
        <v>53</v>
      </c>
      <c r="D24" s="8">
        <v>64</v>
      </c>
      <c r="E24" s="10" t="str">
        <f ca="1">SECGEN2PERIODO!C4</f>
        <v xml:space="preserve">PRECARTILLAS </v>
      </c>
      <c r="F24" s="10" t="str">
        <f ca="1">SECGEN2PERIODO!D4</f>
        <v>ASCENDENTE</v>
      </c>
      <c r="G24" s="10" t="str">
        <f ca="1">SECGEN2PERIODO!E4</f>
        <v>BITACORA DE ATENCION</v>
      </c>
      <c r="H24" s="9">
        <f ca="1">SECGEN2PERIODO!F4</f>
        <v>7.5</v>
      </c>
      <c r="I24" s="14">
        <f ca="1">SECGEN2PERIODO!G4</f>
        <v>6</v>
      </c>
      <c r="J24" s="14">
        <f ca="1">SECGEN2PERIODO!H4</f>
        <v>0</v>
      </c>
      <c r="K24" s="14">
        <f ca="1">SECGEN2PERIODO!I4</f>
        <v>0</v>
      </c>
      <c r="L24" s="14">
        <f ca="1">SECGEN2PERIODO!J4</f>
        <v>0</v>
      </c>
      <c r="M24" s="14">
        <f ca="1">SECGEN2PERIODO!K4</f>
        <v>0</v>
      </c>
      <c r="N24" s="14">
        <f ca="1">SECGEN2PERIODO!L4</f>
        <v>0</v>
      </c>
      <c r="O24" s="14">
        <f ca="1">SECGEN2PERIODO!M4</f>
        <v>0</v>
      </c>
      <c r="P24" s="14">
        <f ca="1">SECGEN2PERIODO!N4</f>
        <v>0</v>
      </c>
      <c r="Q24" s="14">
        <f ca="1">SECGEN2PERIODO!O4</f>
        <v>0</v>
      </c>
      <c r="R24" s="14">
        <f ca="1">SECGEN2PERIODO!P4</f>
        <v>0</v>
      </c>
      <c r="S24" s="14">
        <f ca="1">SECGEN2PERIODO!Q4</f>
        <v>0</v>
      </c>
      <c r="T24" s="14">
        <f ca="1">SECGEN2PERIODO!R4</f>
        <v>0</v>
      </c>
      <c r="U24" s="15">
        <f ca="1">SECGEN2PERIODO!S4</f>
        <v>6</v>
      </c>
    </row>
    <row r="25" spans="1:21" ht="39.75" customHeight="1">
      <c r="A25" s="53"/>
      <c r="B25" s="55" t="s">
        <v>54</v>
      </c>
      <c r="C25" s="7" t="s">
        <v>55</v>
      </c>
      <c r="D25" s="8">
        <v>46</v>
      </c>
      <c r="E25" s="10" t="str">
        <f ca="1">SECGEN2PERIODO!C5</f>
        <v>TITULOS</v>
      </c>
      <c r="F25" s="10" t="str">
        <f ca="1">SECGEN2PERIODO!D5</f>
        <v>ASCENDENTE</v>
      </c>
      <c r="G25" s="10" t="str">
        <f ca="1">SECGEN2PERIODO!E5</f>
        <v>BITACORA OPERATIVA</v>
      </c>
      <c r="H25" s="9">
        <f ca="1">SECGEN2PERIODO!F5</f>
        <v>126.666666666666</v>
      </c>
      <c r="I25" s="14">
        <f ca="1">SECGEN2PERIODO!G5</f>
        <v>10</v>
      </c>
      <c r="J25" s="14">
        <f ca="1">SECGEN2PERIODO!H5</f>
        <v>9</v>
      </c>
      <c r="K25" s="14">
        <f ca="1">SECGEN2PERIODO!I5</f>
        <v>0</v>
      </c>
      <c r="L25" s="14">
        <f ca="1">SECGEN2PERIODO!J5</f>
        <v>0</v>
      </c>
      <c r="M25" s="14">
        <f ca="1">SECGEN2PERIODO!K5</f>
        <v>0</v>
      </c>
      <c r="N25" s="14">
        <f ca="1">SECGEN2PERIODO!L5</f>
        <v>0</v>
      </c>
      <c r="O25" s="14">
        <f ca="1">SECGEN2PERIODO!M5</f>
        <v>0</v>
      </c>
      <c r="P25" s="14">
        <f ca="1">SECGEN2PERIODO!N5</f>
        <v>0</v>
      </c>
      <c r="Q25" s="14">
        <f ca="1">SECGEN2PERIODO!O5</f>
        <v>0</v>
      </c>
      <c r="R25" s="14">
        <f ca="1">SECGEN2PERIODO!P5</f>
        <v>0</v>
      </c>
      <c r="S25" s="14">
        <f ca="1">SECGEN2PERIODO!Q5</f>
        <v>0</v>
      </c>
      <c r="T25" s="14">
        <f ca="1">SECGEN2PERIODO!R5</f>
        <v>0</v>
      </c>
      <c r="U25" s="15">
        <f ca="1">SECGEN2PERIODO!S5</f>
        <v>19</v>
      </c>
    </row>
    <row r="26" spans="1:21" ht="39.75" customHeight="1">
      <c r="A26" s="53"/>
      <c r="B26" s="53"/>
      <c r="C26" s="7" t="s">
        <v>56</v>
      </c>
      <c r="D26" s="8">
        <v>133</v>
      </c>
      <c r="E26" s="10" t="str">
        <f ca="1">SECGEN2PERIODO!C6</f>
        <v>EXHUMACIONES</v>
      </c>
      <c r="F26" s="10" t="str">
        <f ca="1">SECGEN2PERIODO!D6</f>
        <v>ASCENDENTE</v>
      </c>
      <c r="G26" s="10" t="str">
        <f ca="1">SECGEN2PERIODO!E6</f>
        <v>BITACORA OPERATIVA</v>
      </c>
      <c r="H26" s="9">
        <f ca="1">SECGEN2PERIODO!F6</f>
        <v>46.6666666666666</v>
      </c>
      <c r="I26" s="14">
        <f ca="1">SECGEN2PERIODO!G6</f>
        <v>9</v>
      </c>
      <c r="J26" s="14">
        <f ca="1">SECGEN2PERIODO!H6</f>
        <v>5</v>
      </c>
      <c r="K26" s="14">
        <f ca="1">SECGEN2PERIODO!I6</f>
        <v>0</v>
      </c>
      <c r="L26" s="14">
        <f ca="1">SECGEN2PERIODO!J6</f>
        <v>0</v>
      </c>
      <c r="M26" s="14">
        <f ca="1">SECGEN2PERIODO!K6</f>
        <v>0</v>
      </c>
      <c r="N26" s="14">
        <f ca="1">SECGEN2PERIODO!L6</f>
        <v>0</v>
      </c>
      <c r="O26" s="14">
        <f ca="1">SECGEN2PERIODO!M6</f>
        <v>0</v>
      </c>
      <c r="P26" s="14">
        <f ca="1">SECGEN2PERIODO!N6</f>
        <v>0</v>
      </c>
      <c r="Q26" s="14">
        <f ca="1">SECGEN2PERIODO!O6</f>
        <v>0</v>
      </c>
      <c r="R26" s="14">
        <f ca="1">SECGEN2PERIODO!P6</f>
        <v>0</v>
      </c>
      <c r="S26" s="14">
        <f ca="1">SECGEN2PERIODO!Q6</f>
        <v>0</v>
      </c>
      <c r="T26" s="14">
        <f ca="1">SECGEN2PERIODO!R6</f>
        <v>0</v>
      </c>
      <c r="U26" s="15">
        <f ca="1">SECGEN2PERIODO!S6</f>
        <v>14</v>
      </c>
    </row>
    <row r="27" spans="1:21" ht="39.75" customHeight="1">
      <c r="A27" s="53"/>
      <c r="B27" s="53"/>
      <c r="C27" s="7" t="s">
        <v>57</v>
      </c>
      <c r="D27" s="8">
        <v>40</v>
      </c>
      <c r="E27" s="10" t="str">
        <f ca="1">SECGEN2PERIODO!C7</f>
        <v>CAMBIOS</v>
      </c>
      <c r="F27" s="10" t="str">
        <f ca="1">SECGEN2PERIODO!D7</f>
        <v>ASCENDENTE</v>
      </c>
      <c r="G27" s="10" t="str">
        <f ca="1">SECGEN2PERIODO!E7</f>
        <v>BITACORA OPERATIVA</v>
      </c>
      <c r="H27" s="9">
        <f ca="1">SECGEN2PERIODO!F7</f>
        <v>33.3333333333333</v>
      </c>
      <c r="I27" s="14">
        <f ca="1">SECGEN2PERIODO!G7</f>
        <v>2</v>
      </c>
      <c r="J27" s="14">
        <f ca="1">SECGEN2PERIODO!H7</f>
        <v>2</v>
      </c>
      <c r="K27" s="14">
        <f ca="1">SECGEN2PERIODO!I7</f>
        <v>0</v>
      </c>
      <c r="L27" s="14">
        <f ca="1">SECGEN2PERIODO!J7</f>
        <v>0</v>
      </c>
      <c r="M27" s="14">
        <f ca="1">SECGEN2PERIODO!K7</f>
        <v>0</v>
      </c>
      <c r="N27" s="14">
        <f ca="1">SECGEN2PERIODO!L7</f>
        <v>0</v>
      </c>
      <c r="O27" s="14">
        <f ca="1">SECGEN2PERIODO!M7</f>
        <v>0</v>
      </c>
      <c r="P27" s="14">
        <f ca="1">SECGEN2PERIODO!N7</f>
        <v>0</v>
      </c>
      <c r="Q27" s="14">
        <f ca="1">SECGEN2PERIODO!O7</f>
        <v>0</v>
      </c>
      <c r="R27" s="14">
        <f ca="1">SECGEN2PERIODO!P7</f>
        <v>0</v>
      </c>
      <c r="S27" s="14">
        <f ca="1">SECGEN2PERIODO!Q7</f>
        <v>0</v>
      </c>
      <c r="T27" s="14">
        <f ca="1">SECGEN2PERIODO!R7</f>
        <v>0</v>
      </c>
      <c r="U27" s="15">
        <f ca="1">SECGEN2PERIODO!S7</f>
        <v>4</v>
      </c>
    </row>
    <row r="28" spans="1:21" ht="39.75" customHeight="1">
      <c r="A28" s="53"/>
      <c r="B28" s="53"/>
      <c r="C28" s="7" t="s">
        <v>58</v>
      </c>
      <c r="D28" s="8">
        <v>1245</v>
      </c>
      <c r="E28" s="10" t="str">
        <f ca="1">SECGEN2PERIODO!C8</f>
        <v>MANTENIMIENTOS</v>
      </c>
      <c r="F28" s="10" t="str">
        <f ca="1">SECGEN2PERIODO!D8</f>
        <v>ASCENDENTE</v>
      </c>
      <c r="G28" s="10" t="str">
        <f ca="1">SECGEN2PERIODO!E8</f>
        <v>BITACORA OPERATIVA</v>
      </c>
      <c r="H28" s="9">
        <f ca="1">SECGEN2PERIODO!F8</f>
        <v>9.2307692307692299</v>
      </c>
      <c r="I28" s="14">
        <f ca="1">SECGEN2PERIODO!G8</f>
        <v>34</v>
      </c>
      <c r="J28" s="14">
        <f ca="1">SECGEN2PERIODO!H8</f>
        <v>14</v>
      </c>
      <c r="K28" s="14">
        <f ca="1">SECGEN2PERIODO!I8</f>
        <v>0</v>
      </c>
      <c r="L28" s="14">
        <f ca="1">SECGEN2PERIODO!J8</f>
        <v>0</v>
      </c>
      <c r="M28" s="14">
        <f ca="1">SECGEN2PERIODO!K8</f>
        <v>0</v>
      </c>
      <c r="N28" s="14">
        <f ca="1">SECGEN2PERIODO!L8</f>
        <v>0</v>
      </c>
      <c r="O28" s="14">
        <f ca="1">SECGEN2PERIODO!M8</f>
        <v>0</v>
      </c>
      <c r="P28" s="14">
        <f ca="1">SECGEN2PERIODO!N8</f>
        <v>0</v>
      </c>
      <c r="Q28" s="14">
        <f ca="1">SECGEN2PERIODO!O8</f>
        <v>0</v>
      </c>
      <c r="R28" s="14">
        <f ca="1">SECGEN2PERIODO!P8</f>
        <v>0</v>
      </c>
      <c r="S28" s="14">
        <f ca="1">SECGEN2PERIODO!Q8</f>
        <v>0</v>
      </c>
      <c r="T28" s="14">
        <f ca="1">SECGEN2PERIODO!R8</f>
        <v>0</v>
      </c>
      <c r="U28" s="15">
        <f ca="1">SECGEN2PERIODO!S8</f>
        <v>48</v>
      </c>
    </row>
    <row r="29" spans="1:21" ht="39.75" customHeight="1">
      <c r="A29" s="53"/>
      <c r="B29" s="51"/>
      <c r="C29" s="7" t="s">
        <v>59</v>
      </c>
      <c r="D29" s="8">
        <v>64</v>
      </c>
      <c r="E29" s="10" t="str">
        <f ca="1">SECGEN2PERIODO!C9</f>
        <v>TRAMITES REALIZADOS</v>
      </c>
      <c r="F29" s="10" t="str">
        <f ca="1">SECGEN2PERIODO!D9</f>
        <v>ASCENDENTE</v>
      </c>
      <c r="G29" s="10" t="str">
        <f ca="1">SECGEN2PERIODO!E9</f>
        <v>BITACORA OPERATIVA</v>
      </c>
      <c r="H29" s="9">
        <f ca="1">SECGEN2PERIODO!F9</f>
        <v>1</v>
      </c>
      <c r="I29" s="14">
        <f ca="1">SECGEN2PERIODO!G9</f>
        <v>5</v>
      </c>
      <c r="J29" s="14">
        <f ca="1">SECGEN2PERIODO!H9</f>
        <v>0</v>
      </c>
      <c r="K29" s="14">
        <f ca="1">SECGEN2PERIODO!I9</f>
        <v>0</v>
      </c>
      <c r="L29" s="14">
        <f ca="1">SECGEN2PERIODO!J9</f>
        <v>0</v>
      </c>
      <c r="M29" s="14">
        <f ca="1">SECGEN2PERIODO!K9</f>
        <v>0</v>
      </c>
      <c r="N29" s="14">
        <f ca="1">SECGEN2PERIODO!L9</f>
        <v>0</v>
      </c>
      <c r="O29" s="14">
        <f ca="1">SECGEN2PERIODO!M9</f>
        <v>0</v>
      </c>
      <c r="P29" s="14">
        <f ca="1">SECGEN2PERIODO!N9</f>
        <v>0</v>
      </c>
      <c r="Q29" s="14">
        <f ca="1">SECGEN2PERIODO!O9</f>
        <v>0</v>
      </c>
      <c r="R29" s="14">
        <f ca="1">SECGEN2PERIODO!P9</f>
        <v>0</v>
      </c>
      <c r="S29" s="14">
        <f ca="1">SECGEN2PERIODO!Q9</f>
        <v>0</v>
      </c>
      <c r="T29" s="14">
        <f ca="1">SECGEN2PERIODO!R9</f>
        <v>0</v>
      </c>
      <c r="U29" s="15">
        <f ca="1">SECGEN2PERIODO!S9</f>
        <v>5</v>
      </c>
    </row>
    <row r="30" spans="1:21" ht="39.75" customHeight="1">
      <c r="A30" s="53"/>
      <c r="B30" s="55" t="s">
        <v>60</v>
      </c>
      <c r="C30" s="7" t="s">
        <v>61</v>
      </c>
      <c r="D30" s="8">
        <v>1097</v>
      </c>
      <c r="E30" s="10" t="str">
        <f ca="1">SECGEN2PERIODO!C10</f>
        <v>NACIMIENTOS</v>
      </c>
      <c r="F30" s="10" t="str">
        <f ca="1">SECGEN2PERIODO!D10</f>
        <v>ASCENDENTE</v>
      </c>
      <c r="G30" s="10" t="str">
        <f ca="1">SECGEN2PERIODO!E10</f>
        <v>BITACORA OPERATIVA</v>
      </c>
      <c r="H30" s="9">
        <f ca="1">SECGEN2PERIODO!F10</f>
        <v>15.7272727272727</v>
      </c>
      <c r="I30" s="14">
        <f ca="1">SECGEN2PERIODO!G10</f>
        <v>96</v>
      </c>
      <c r="J30" s="14">
        <f ca="1">SECGEN2PERIODO!H10</f>
        <v>77</v>
      </c>
      <c r="K30" s="14">
        <f ca="1">SECGEN2PERIODO!I10</f>
        <v>0</v>
      </c>
      <c r="L30" s="14">
        <f ca="1">SECGEN2PERIODO!J10</f>
        <v>0</v>
      </c>
      <c r="M30" s="14">
        <f ca="1">SECGEN2PERIODO!K10</f>
        <v>0</v>
      </c>
      <c r="N30" s="14">
        <f ca="1">SECGEN2PERIODO!L10</f>
        <v>0</v>
      </c>
      <c r="O30" s="14">
        <f ca="1">SECGEN2PERIODO!M10</f>
        <v>0</v>
      </c>
      <c r="P30" s="14">
        <f ca="1">SECGEN2PERIODO!N10</f>
        <v>0</v>
      </c>
      <c r="Q30" s="14">
        <f ca="1">SECGEN2PERIODO!O10</f>
        <v>0</v>
      </c>
      <c r="R30" s="14">
        <f ca="1">SECGEN2PERIODO!P10</f>
        <v>0</v>
      </c>
      <c r="S30" s="14">
        <f ca="1">SECGEN2PERIODO!Q10</f>
        <v>0</v>
      </c>
      <c r="T30" s="14">
        <f ca="1">SECGEN2PERIODO!R10</f>
        <v>0</v>
      </c>
      <c r="U30" s="15">
        <f ca="1">SECGEN2PERIODO!S10</f>
        <v>173</v>
      </c>
    </row>
    <row r="31" spans="1:21" ht="39.75" customHeight="1">
      <c r="A31" s="53"/>
      <c r="B31" s="53"/>
      <c r="C31" s="7" t="s">
        <v>62</v>
      </c>
      <c r="D31" s="8">
        <v>405</v>
      </c>
      <c r="E31" s="10" t="str">
        <f ca="1">SECGEN2PERIODO!C11</f>
        <v>DEFUNCIONES</v>
      </c>
      <c r="F31" s="10" t="str">
        <f ca="1">SECGEN2PERIODO!D11</f>
        <v>ASCENDENTE</v>
      </c>
      <c r="G31" s="10" t="str">
        <f ca="1">SECGEN2PERIODO!E11</f>
        <v>BITACORA OPERATIVA</v>
      </c>
      <c r="H31" s="9">
        <f ca="1">SECGEN2PERIODO!F11</f>
        <v>5.3061224489795897</v>
      </c>
      <c r="I31" s="14">
        <f ca="1">SECGEN2PERIODO!G11</f>
        <v>26</v>
      </c>
      <c r="J31" s="14">
        <f ca="1">SECGEN2PERIODO!H11</f>
        <v>26</v>
      </c>
      <c r="K31" s="14">
        <f ca="1">SECGEN2PERIODO!I11</f>
        <v>0</v>
      </c>
      <c r="L31" s="14">
        <f ca="1">SECGEN2PERIODO!J11</f>
        <v>0</v>
      </c>
      <c r="M31" s="14">
        <f ca="1">SECGEN2PERIODO!K11</f>
        <v>0</v>
      </c>
      <c r="N31" s="14">
        <f ca="1">SECGEN2PERIODO!L11</f>
        <v>0</v>
      </c>
      <c r="O31" s="14">
        <f ca="1">SECGEN2PERIODO!M11</f>
        <v>0</v>
      </c>
      <c r="P31" s="14">
        <f ca="1">SECGEN2PERIODO!N11</f>
        <v>0</v>
      </c>
      <c r="Q31" s="14">
        <f ca="1">SECGEN2PERIODO!O11</f>
        <v>0</v>
      </c>
      <c r="R31" s="14">
        <f ca="1">SECGEN2PERIODO!P11</f>
        <v>0</v>
      </c>
      <c r="S31" s="14">
        <f ca="1">SECGEN2PERIODO!Q11</f>
        <v>0</v>
      </c>
      <c r="T31" s="14">
        <f ca="1">SECGEN2PERIODO!R11</f>
        <v>0</v>
      </c>
      <c r="U31" s="15">
        <f ca="1">SECGEN2PERIODO!S11</f>
        <v>52</v>
      </c>
    </row>
    <row r="32" spans="1:21" ht="39.75" customHeight="1">
      <c r="A32" s="53"/>
      <c r="B32" s="53"/>
      <c r="C32" s="7" t="s">
        <v>63</v>
      </c>
      <c r="D32" s="8">
        <v>112</v>
      </c>
      <c r="E32" s="10" t="str">
        <f ca="1">SECGEN2PERIODO!C12</f>
        <v>DIVORCIOS</v>
      </c>
      <c r="F32" s="10" t="str">
        <f ca="1">SECGEN2PERIODO!D12</f>
        <v>ASCENDENTE</v>
      </c>
      <c r="G32" s="10" t="str">
        <f ca="1">SECGEN2PERIODO!E12</f>
        <v>BITACORA OPERATIVA</v>
      </c>
      <c r="H32" s="9">
        <f ca="1">SECGEN2PERIODO!F12</f>
        <v>27.1428571428571</v>
      </c>
      <c r="I32" s="14">
        <f ca="1">SECGEN2PERIODO!G12</f>
        <v>11</v>
      </c>
      <c r="J32" s="14">
        <f ca="1">SECGEN2PERIODO!H12</f>
        <v>8</v>
      </c>
      <c r="K32" s="14">
        <f ca="1">SECGEN2PERIODO!I12</f>
        <v>0</v>
      </c>
      <c r="L32" s="14">
        <f ca="1">SECGEN2PERIODO!J12</f>
        <v>0</v>
      </c>
      <c r="M32" s="14">
        <f ca="1">SECGEN2PERIODO!K12</f>
        <v>0</v>
      </c>
      <c r="N32" s="14">
        <f ca="1">SECGEN2PERIODO!L12</f>
        <v>0</v>
      </c>
      <c r="O32" s="14">
        <f ca="1">SECGEN2PERIODO!M12</f>
        <v>0</v>
      </c>
      <c r="P32" s="14">
        <f ca="1">SECGEN2PERIODO!N12</f>
        <v>0</v>
      </c>
      <c r="Q32" s="14">
        <f ca="1">SECGEN2PERIODO!O12</f>
        <v>0</v>
      </c>
      <c r="R32" s="14">
        <f ca="1">SECGEN2PERIODO!P12</f>
        <v>0</v>
      </c>
      <c r="S32" s="14">
        <f ca="1">SECGEN2PERIODO!Q12</f>
        <v>0</v>
      </c>
      <c r="T32" s="14">
        <f ca="1">SECGEN2PERIODO!R12</f>
        <v>0</v>
      </c>
      <c r="U32" s="15">
        <f ca="1">SECGEN2PERIODO!S12</f>
        <v>19</v>
      </c>
    </row>
    <row r="33" spans="1:21" ht="39.75" customHeight="1">
      <c r="A33" s="53"/>
      <c r="B33" s="53"/>
      <c r="C33" s="7" t="s">
        <v>64</v>
      </c>
      <c r="D33" s="8">
        <v>201</v>
      </c>
      <c r="E33" s="10" t="str">
        <f ca="1">SECGEN2PERIODO!C13</f>
        <v>MATRIONIOS</v>
      </c>
      <c r="F33" s="10" t="str">
        <f ca="1">SECGEN2PERIODO!D13</f>
        <v>ASCENDENTE</v>
      </c>
      <c r="G33" s="10" t="str">
        <f ca="1">SECGEN2PERIODO!E13</f>
        <v>BITACORA OPERATIVA</v>
      </c>
      <c r="H33" s="9">
        <f ca="1">SECGEN2PERIODO!F13</f>
        <v>25</v>
      </c>
      <c r="I33" s="14">
        <f ca="1">SECGEN2PERIODO!G13</f>
        <v>20</v>
      </c>
      <c r="J33" s="14">
        <f ca="1">SECGEN2PERIODO!H13</f>
        <v>0</v>
      </c>
      <c r="K33" s="14">
        <f ca="1">SECGEN2PERIODO!I13</f>
        <v>0</v>
      </c>
      <c r="L33" s="14">
        <f ca="1">SECGEN2PERIODO!J13</f>
        <v>0</v>
      </c>
      <c r="M33" s="14">
        <f ca="1">SECGEN2PERIODO!K13</f>
        <v>0</v>
      </c>
      <c r="N33" s="14">
        <f ca="1">SECGEN2PERIODO!L13</f>
        <v>0</v>
      </c>
      <c r="O33" s="14">
        <f ca="1">SECGEN2PERIODO!M13</f>
        <v>0</v>
      </c>
      <c r="P33" s="14">
        <f ca="1">SECGEN2PERIODO!N13</f>
        <v>0</v>
      </c>
      <c r="Q33" s="14">
        <f ca="1">SECGEN2PERIODO!O13</f>
        <v>0</v>
      </c>
      <c r="R33" s="14">
        <f ca="1">SECGEN2PERIODO!P13</f>
        <v>0</v>
      </c>
      <c r="S33" s="14">
        <f ca="1">SECGEN2PERIODO!Q13</f>
        <v>0</v>
      </c>
      <c r="T33" s="14">
        <f ca="1">SECGEN2PERIODO!R13</f>
        <v>0</v>
      </c>
      <c r="U33" s="15">
        <f ca="1">SECGEN2PERIODO!S13</f>
        <v>20</v>
      </c>
    </row>
    <row r="34" spans="1:21" ht="39.75" customHeight="1">
      <c r="A34" s="53"/>
      <c r="B34" s="53"/>
      <c r="C34" s="7" t="s">
        <v>65</v>
      </c>
      <c r="D34" s="8">
        <v>165</v>
      </c>
      <c r="E34" s="10" t="str">
        <f ca="1">SECGEN2PERIODO!C14</f>
        <v>ACLARACIONES</v>
      </c>
      <c r="F34" s="10" t="str">
        <f ca="1">SECGEN2PERIODO!D14</f>
        <v>ASCENDENTE</v>
      </c>
      <c r="G34" s="10" t="str">
        <f ca="1">SECGEN2PERIODO!E14</f>
        <v>BITACORA OPERATIVA</v>
      </c>
      <c r="H34" s="9">
        <f ca="1">SECGEN2PERIODO!F14</f>
        <v>106.666666666666</v>
      </c>
      <c r="I34" s="14">
        <f ca="1">SECGEN2PERIODO!G14</f>
        <v>16</v>
      </c>
      <c r="J34" s="14">
        <f ca="1">SECGEN2PERIODO!H14</f>
        <v>16</v>
      </c>
      <c r="K34" s="14">
        <f ca="1">SECGEN2PERIODO!I14</f>
        <v>0</v>
      </c>
      <c r="L34" s="14">
        <f ca="1">SECGEN2PERIODO!J14</f>
        <v>0</v>
      </c>
      <c r="M34" s="14">
        <f ca="1">SECGEN2PERIODO!K14</f>
        <v>0</v>
      </c>
      <c r="N34" s="14">
        <f ca="1">SECGEN2PERIODO!L14</f>
        <v>0</v>
      </c>
      <c r="O34" s="14">
        <f ca="1">SECGEN2PERIODO!M14</f>
        <v>0</v>
      </c>
      <c r="P34" s="14">
        <f ca="1">SECGEN2PERIODO!N14</f>
        <v>0</v>
      </c>
      <c r="Q34" s="14">
        <f ca="1">SECGEN2PERIODO!O14</f>
        <v>0</v>
      </c>
      <c r="R34" s="14">
        <f ca="1">SECGEN2PERIODO!P14</f>
        <v>0</v>
      </c>
      <c r="S34" s="14">
        <f ca="1">SECGEN2PERIODO!Q14</f>
        <v>0</v>
      </c>
      <c r="T34" s="14">
        <f ca="1">SECGEN2PERIODO!R14</f>
        <v>0</v>
      </c>
      <c r="U34" s="15">
        <f ca="1">SECGEN2PERIODO!S14</f>
        <v>32</v>
      </c>
    </row>
    <row r="35" spans="1:21" ht="39.75" customHeight="1">
      <c r="A35" s="53"/>
      <c r="B35" s="53"/>
      <c r="C35" s="7" t="s">
        <v>52</v>
      </c>
      <c r="D35" s="8">
        <v>60</v>
      </c>
      <c r="E35" s="10" t="str">
        <f ca="1">SECGEN2PERIODO!C15</f>
        <v>CONSTANCIAS</v>
      </c>
      <c r="F35" s="10" t="str">
        <f ca="1">SECGEN2PERIODO!D15</f>
        <v>ASCENDENTE</v>
      </c>
      <c r="G35" s="10" t="str">
        <f ca="1">SECGEN2PERIODO!E15</f>
        <v>BITACORA OPERATIVA</v>
      </c>
      <c r="H35" s="9">
        <f ca="1">SECGEN2PERIODO!F15</f>
        <v>1.75</v>
      </c>
      <c r="I35" s="14">
        <f ca="1">SECGEN2PERIODO!G15</f>
        <v>5</v>
      </c>
      <c r="J35" s="14">
        <f ca="1">SECGEN2PERIODO!H15</f>
        <v>2</v>
      </c>
      <c r="K35" s="14">
        <f ca="1">SECGEN2PERIODO!I15</f>
        <v>0</v>
      </c>
      <c r="L35" s="14">
        <f ca="1">SECGEN2PERIODO!J15</f>
        <v>0</v>
      </c>
      <c r="M35" s="14">
        <f ca="1">SECGEN2PERIODO!K15</f>
        <v>0</v>
      </c>
      <c r="N35" s="14">
        <f ca="1">SECGEN2PERIODO!L15</f>
        <v>0</v>
      </c>
      <c r="O35" s="14">
        <f ca="1">SECGEN2PERIODO!M15</f>
        <v>0</v>
      </c>
      <c r="P35" s="14">
        <f ca="1">SECGEN2PERIODO!N15</f>
        <v>0</v>
      </c>
      <c r="Q35" s="14">
        <f ca="1">SECGEN2PERIODO!O15</f>
        <v>0</v>
      </c>
      <c r="R35" s="14">
        <f ca="1">SECGEN2PERIODO!P15</f>
        <v>0</v>
      </c>
      <c r="S35" s="14">
        <f ca="1">SECGEN2PERIODO!Q15</f>
        <v>0</v>
      </c>
      <c r="T35" s="14">
        <f ca="1">SECGEN2PERIODO!R15</f>
        <v>0</v>
      </c>
      <c r="U35" s="15">
        <f ca="1">SECGEN2PERIODO!S15</f>
        <v>7</v>
      </c>
    </row>
    <row r="36" spans="1:21" ht="39.75" customHeight="1">
      <c r="A36" s="51"/>
      <c r="B36" s="51"/>
      <c r="C36" s="7" t="s">
        <v>66</v>
      </c>
      <c r="D36" s="8">
        <v>11296</v>
      </c>
      <c r="E36" s="10" t="str">
        <f ca="1">SECGEN2PERIODO!C16</f>
        <v>ACTAS EXPEDIDAS</v>
      </c>
      <c r="F36" s="10" t="str">
        <f ca="1">SECGEN2PERIODO!D16</f>
        <v>ASCENDENTE</v>
      </c>
      <c r="G36" s="10" t="str">
        <f ca="1">SECGEN2PERIODO!E16</f>
        <v>BITACORA OPERATIVA</v>
      </c>
      <c r="H36" s="9">
        <f ca="1">SECGEN2PERIODO!F16</f>
        <v>485.55555555555497</v>
      </c>
      <c r="I36" s="14">
        <f ca="1">SECGEN2PERIODO!G16</f>
        <v>2510</v>
      </c>
      <c r="J36" s="14">
        <f ca="1">SECGEN2PERIODO!H16</f>
        <v>1860</v>
      </c>
      <c r="K36" s="14">
        <f ca="1">SECGEN2PERIODO!I16</f>
        <v>0</v>
      </c>
      <c r="L36" s="14">
        <f ca="1">SECGEN2PERIODO!J16</f>
        <v>0</v>
      </c>
      <c r="M36" s="14">
        <f ca="1">SECGEN2PERIODO!K16</f>
        <v>0</v>
      </c>
      <c r="N36" s="14">
        <f ca="1">SECGEN2PERIODO!L16</f>
        <v>0</v>
      </c>
      <c r="O36" s="14">
        <f ca="1">SECGEN2PERIODO!M16</f>
        <v>0</v>
      </c>
      <c r="P36" s="14">
        <f ca="1">SECGEN2PERIODO!N16</f>
        <v>0</v>
      </c>
      <c r="Q36" s="14">
        <f ca="1">SECGEN2PERIODO!O16</f>
        <v>0</v>
      </c>
      <c r="R36" s="14">
        <f ca="1">SECGEN2PERIODO!P16</f>
        <v>0</v>
      </c>
      <c r="S36" s="14">
        <f ca="1">SECGEN2PERIODO!Q16</f>
        <v>0</v>
      </c>
      <c r="T36" s="14">
        <f ca="1">SECGEN2PERIODO!R16</f>
        <v>0</v>
      </c>
      <c r="U36" s="15">
        <f ca="1">SECGEN2PERIODO!S16</f>
        <v>4370</v>
      </c>
    </row>
    <row r="37" spans="1:21" ht="39.75" customHeight="1">
      <c r="A37" s="52" t="s">
        <v>67</v>
      </c>
      <c r="B37" s="52" t="s">
        <v>68</v>
      </c>
      <c r="C37" s="29" t="s">
        <v>69</v>
      </c>
      <c r="D37" s="8">
        <v>5370</v>
      </c>
      <c r="E37" s="30" t="s">
        <v>490</v>
      </c>
      <c r="F37" s="30" t="s">
        <v>286</v>
      </c>
      <c r="G37" s="30" t="s">
        <v>292</v>
      </c>
      <c r="H37" s="9">
        <f ca="1">GAB2PERIODO!F2</f>
        <v>40.5</v>
      </c>
      <c r="I37" s="14">
        <f ca="1">GAB2PERIODO!G2</f>
        <v>560</v>
      </c>
      <c r="J37" s="14">
        <f ca="1">GAB2PERIODO!H2</f>
        <v>100</v>
      </c>
      <c r="K37" s="14">
        <f ca="1">GAB2PERIODO!I2</f>
        <v>150</v>
      </c>
      <c r="L37" s="14">
        <f ca="1">GAB2PERIODO!J2</f>
        <v>0</v>
      </c>
      <c r="M37" s="14">
        <f ca="1">GAB2PERIODO!K2</f>
        <v>0</v>
      </c>
      <c r="N37" s="14">
        <f ca="1">GAB2PERIODO!L2</f>
        <v>0</v>
      </c>
      <c r="O37" s="14">
        <f ca="1">GAB2PERIODO!M2</f>
        <v>0</v>
      </c>
      <c r="P37" s="14">
        <f ca="1">GAB2PERIODO!N2</f>
        <v>0</v>
      </c>
      <c r="Q37" s="14">
        <f ca="1">GAB2PERIODO!O2</f>
        <v>0</v>
      </c>
      <c r="R37" s="14">
        <f ca="1">GAB2PERIODO!P2</f>
        <v>0</v>
      </c>
      <c r="S37" s="14">
        <f ca="1">GAB2PERIODO!Q2</f>
        <v>0</v>
      </c>
      <c r="T37" s="14">
        <f ca="1">GAB2PERIODO!R2</f>
        <v>0</v>
      </c>
      <c r="U37" s="15">
        <f ca="1">GAB2PERIODO!S2</f>
        <v>810</v>
      </c>
    </row>
    <row r="38" spans="1:21" ht="39.75" customHeight="1">
      <c r="A38" s="53"/>
      <c r="B38" s="53"/>
      <c r="C38" s="29" t="s">
        <v>70</v>
      </c>
      <c r="D38" s="8">
        <v>148</v>
      </c>
      <c r="E38" s="30" t="s">
        <v>491</v>
      </c>
      <c r="F38" s="30" t="s">
        <v>286</v>
      </c>
      <c r="G38" s="30" t="s">
        <v>292</v>
      </c>
      <c r="H38" s="9">
        <f ca="1">GAB2PERIODO!F3</f>
        <v>30</v>
      </c>
      <c r="I38" s="14">
        <f ca="1">GAB2PERIODO!G3</f>
        <v>40</v>
      </c>
      <c r="J38" s="14">
        <f ca="1">GAB2PERIODO!H3</f>
        <v>15</v>
      </c>
      <c r="K38" s="14">
        <f ca="1">GAB2PERIODO!I3</f>
        <v>5</v>
      </c>
      <c r="L38" s="14">
        <f ca="1">GAB2PERIODO!J3</f>
        <v>0</v>
      </c>
      <c r="M38" s="14">
        <f ca="1">GAB2PERIODO!K3</f>
        <v>0</v>
      </c>
      <c r="N38" s="14">
        <f ca="1">GAB2PERIODO!L3</f>
        <v>0</v>
      </c>
      <c r="O38" s="14">
        <f ca="1">GAB2PERIODO!M3</f>
        <v>0</v>
      </c>
      <c r="P38" s="14">
        <f ca="1">GAB2PERIODO!N3</f>
        <v>0</v>
      </c>
      <c r="Q38" s="14">
        <f ca="1">GAB2PERIODO!O3</f>
        <v>0</v>
      </c>
      <c r="R38" s="14">
        <f ca="1">GAB2PERIODO!P3</f>
        <v>0</v>
      </c>
      <c r="S38" s="14">
        <f ca="1">GAB2PERIODO!Q3</f>
        <v>0</v>
      </c>
      <c r="T38" s="14">
        <f ca="1">GAB2PERIODO!R3</f>
        <v>0</v>
      </c>
      <c r="U38" s="15">
        <f ca="1">GAB2PERIODO!S3</f>
        <v>60</v>
      </c>
    </row>
    <row r="39" spans="1:21" ht="39.75" customHeight="1">
      <c r="A39" s="53"/>
      <c r="B39" s="53"/>
      <c r="C39" s="29" t="s">
        <v>71</v>
      </c>
      <c r="D39" s="8">
        <v>16</v>
      </c>
      <c r="E39" s="30" t="s">
        <v>492</v>
      </c>
      <c r="F39" s="30" t="s">
        <v>286</v>
      </c>
      <c r="G39" s="30" t="s">
        <v>292</v>
      </c>
      <c r="H39" s="9">
        <f ca="1">GAB2PERIODO!F4</f>
        <v>12</v>
      </c>
      <c r="I39" s="14">
        <f ca="1">GAB2PERIODO!G4</f>
        <v>2</v>
      </c>
      <c r="J39" s="14">
        <f ca="1">GAB2PERIODO!H4</f>
        <v>1</v>
      </c>
      <c r="K39" s="14">
        <f ca="1">GAB2PERIODO!I4</f>
        <v>0</v>
      </c>
      <c r="L39" s="14">
        <f ca="1">GAB2PERIODO!J4</f>
        <v>0</v>
      </c>
      <c r="M39" s="14">
        <f ca="1">GAB2PERIODO!K4</f>
        <v>0</v>
      </c>
      <c r="N39" s="14">
        <f ca="1">GAB2PERIODO!L4</f>
        <v>0</v>
      </c>
      <c r="O39" s="14">
        <f ca="1">GAB2PERIODO!M4</f>
        <v>0</v>
      </c>
      <c r="P39" s="14">
        <f ca="1">GAB2PERIODO!N4</f>
        <v>0</v>
      </c>
      <c r="Q39" s="14">
        <f ca="1">GAB2PERIODO!O4</f>
        <v>0</v>
      </c>
      <c r="R39" s="14">
        <f ca="1">GAB2PERIODO!P4</f>
        <v>0</v>
      </c>
      <c r="S39" s="14">
        <f ca="1">GAB2PERIODO!Q4</f>
        <v>0</v>
      </c>
      <c r="T39" s="14">
        <f ca="1">GAB2PERIODO!R4</f>
        <v>0</v>
      </c>
      <c r="U39" s="15">
        <f ca="1">GAB2PERIODO!S4</f>
        <v>3</v>
      </c>
    </row>
    <row r="40" spans="1:21" ht="39.75" customHeight="1">
      <c r="A40" s="53"/>
      <c r="B40" s="53"/>
      <c r="C40" s="29" t="s">
        <v>72</v>
      </c>
      <c r="D40" s="8">
        <v>13</v>
      </c>
      <c r="E40" s="30" t="s">
        <v>493</v>
      </c>
      <c r="F40" s="30" t="s">
        <v>286</v>
      </c>
      <c r="G40" s="30" t="s">
        <v>292</v>
      </c>
      <c r="H40" s="9">
        <f ca="1">GAB2PERIODO!F5</f>
        <v>16</v>
      </c>
      <c r="I40" s="14">
        <f ca="1">GAB2PERIODO!G5</f>
        <v>2</v>
      </c>
      <c r="J40" s="14">
        <f ca="1">GAB2PERIODO!H5</f>
        <v>1</v>
      </c>
      <c r="K40" s="14">
        <f ca="1">GAB2PERIODO!I5</f>
        <v>5</v>
      </c>
      <c r="L40" s="14">
        <f ca="1">GAB2PERIODO!J5</f>
        <v>0</v>
      </c>
      <c r="M40" s="14">
        <f ca="1">GAB2PERIODO!K5</f>
        <v>0</v>
      </c>
      <c r="N40" s="14">
        <f ca="1">GAB2PERIODO!L5</f>
        <v>0</v>
      </c>
      <c r="O40" s="14">
        <f ca="1">GAB2PERIODO!M5</f>
        <v>0</v>
      </c>
      <c r="P40" s="14">
        <f ca="1">GAB2PERIODO!N5</f>
        <v>0</v>
      </c>
      <c r="Q40" s="14">
        <f ca="1">GAB2PERIODO!O5</f>
        <v>0</v>
      </c>
      <c r="R40" s="14">
        <f ca="1">GAB2PERIODO!P5</f>
        <v>0</v>
      </c>
      <c r="S40" s="14">
        <f ca="1">GAB2PERIODO!Q5</f>
        <v>0</v>
      </c>
      <c r="T40" s="14">
        <f ca="1">GAB2PERIODO!R5</f>
        <v>0</v>
      </c>
      <c r="U40" s="15">
        <f ca="1">GAB2PERIODO!S5</f>
        <v>8</v>
      </c>
    </row>
    <row r="41" spans="1:21" ht="39.75" customHeight="1">
      <c r="A41" s="53"/>
      <c r="B41" s="51"/>
      <c r="C41" s="29" t="s">
        <v>73</v>
      </c>
      <c r="D41" s="8">
        <v>35</v>
      </c>
      <c r="E41" s="30" t="s">
        <v>238</v>
      </c>
      <c r="F41" s="30" t="s">
        <v>286</v>
      </c>
      <c r="G41" s="30" t="s">
        <v>292</v>
      </c>
      <c r="H41" s="9">
        <f ca="1">GAB2PERIODO!F6</f>
        <v>6.6666666666666599</v>
      </c>
      <c r="I41" s="14">
        <f ca="1">GAB2PERIODO!G6</f>
        <v>2</v>
      </c>
      <c r="J41" s="14">
        <f ca="1">GAB2PERIODO!H6</f>
        <v>0</v>
      </c>
      <c r="K41" s="14">
        <f ca="1">GAB2PERIODO!I6</f>
        <v>0</v>
      </c>
      <c r="L41" s="14">
        <f ca="1">GAB2PERIODO!J6</f>
        <v>0</v>
      </c>
      <c r="M41" s="14">
        <f ca="1">GAB2PERIODO!K6</f>
        <v>0</v>
      </c>
      <c r="N41" s="14">
        <f ca="1">GAB2PERIODO!L6</f>
        <v>0</v>
      </c>
      <c r="O41" s="14">
        <f ca="1">GAB2PERIODO!M6</f>
        <v>0</v>
      </c>
      <c r="P41" s="14">
        <f ca="1">GAB2PERIODO!N6</f>
        <v>0</v>
      </c>
      <c r="Q41" s="14">
        <f ca="1">GAB2PERIODO!O6</f>
        <v>0</v>
      </c>
      <c r="R41" s="14">
        <f ca="1">GAB2PERIODO!P6</f>
        <v>0</v>
      </c>
      <c r="S41" s="14">
        <f ca="1">GAB2PERIODO!Q6</f>
        <v>0</v>
      </c>
      <c r="T41" s="14">
        <f ca="1">GAB2PERIODO!R6</f>
        <v>0</v>
      </c>
      <c r="U41" s="15">
        <f ca="1">GAB2PERIODO!S6</f>
        <v>2</v>
      </c>
    </row>
    <row r="42" spans="1:21" ht="39.75" customHeight="1">
      <c r="A42" s="53"/>
      <c r="B42" s="52" t="s">
        <v>74</v>
      </c>
      <c r="C42" s="31" t="s">
        <v>75</v>
      </c>
      <c r="D42" s="8">
        <v>22</v>
      </c>
      <c r="E42" s="30" t="s">
        <v>494</v>
      </c>
      <c r="F42" s="30" t="s">
        <v>286</v>
      </c>
      <c r="G42" s="30" t="s">
        <v>292</v>
      </c>
      <c r="H42" s="9">
        <f ca="1">GAB2PERIODO!F7</f>
        <v>0</v>
      </c>
      <c r="I42" s="14">
        <f ca="1">GAB2PERIODO!G7</f>
        <v>0</v>
      </c>
      <c r="J42" s="14">
        <f ca="1">GAB2PERIODO!H7</f>
        <v>0</v>
      </c>
      <c r="K42" s="14">
        <f ca="1">GAB2PERIODO!I7</f>
        <v>0</v>
      </c>
      <c r="L42" s="14">
        <f ca="1">GAB2PERIODO!J7</f>
        <v>0</v>
      </c>
      <c r="M42" s="14">
        <f ca="1">GAB2PERIODO!K7</f>
        <v>0</v>
      </c>
      <c r="N42" s="14">
        <f ca="1">GAB2PERIODO!L7</f>
        <v>0</v>
      </c>
      <c r="O42" s="14">
        <f ca="1">GAB2PERIODO!M7</f>
        <v>0</v>
      </c>
      <c r="P42" s="14">
        <f ca="1">GAB2PERIODO!N7</f>
        <v>0</v>
      </c>
      <c r="Q42" s="14">
        <f ca="1">GAB2PERIODO!O7</f>
        <v>0</v>
      </c>
      <c r="R42" s="14">
        <f ca="1">GAB2PERIODO!P7</f>
        <v>0</v>
      </c>
      <c r="S42" s="14">
        <f ca="1">GAB2PERIODO!Q7</f>
        <v>0</v>
      </c>
      <c r="T42" s="14">
        <f ca="1">GAB2PERIODO!R7</f>
        <v>0</v>
      </c>
      <c r="U42" s="15">
        <f ca="1">GAB2PERIODO!S7</f>
        <v>0</v>
      </c>
    </row>
    <row r="43" spans="1:21" ht="39.75" customHeight="1">
      <c r="A43" s="53"/>
      <c r="B43" s="53"/>
      <c r="C43" s="29" t="s">
        <v>76</v>
      </c>
      <c r="D43" s="8">
        <v>17</v>
      </c>
      <c r="E43" s="30" t="s">
        <v>495</v>
      </c>
      <c r="F43" s="30" t="s">
        <v>286</v>
      </c>
      <c r="G43" s="30" t="s">
        <v>292</v>
      </c>
      <c r="H43" s="9">
        <f ca="1">GAB2PERIODO!F8</f>
        <v>0</v>
      </c>
      <c r="I43" s="14">
        <f ca="1">GAB2PERIODO!G8</f>
        <v>0</v>
      </c>
      <c r="J43" s="14">
        <f ca="1">GAB2PERIODO!H8</f>
        <v>0</v>
      </c>
      <c r="K43" s="14">
        <f ca="1">GAB2PERIODO!I8</f>
        <v>0</v>
      </c>
      <c r="L43" s="14">
        <f ca="1">GAB2PERIODO!J8</f>
        <v>0</v>
      </c>
      <c r="M43" s="14">
        <f ca="1">GAB2PERIODO!K8</f>
        <v>0</v>
      </c>
      <c r="N43" s="14">
        <f ca="1">GAB2PERIODO!L8</f>
        <v>0</v>
      </c>
      <c r="O43" s="14">
        <f ca="1">GAB2PERIODO!M8</f>
        <v>0</v>
      </c>
      <c r="P43" s="14">
        <f ca="1">GAB2PERIODO!N8</f>
        <v>0</v>
      </c>
      <c r="Q43" s="14">
        <f ca="1">GAB2PERIODO!O8</f>
        <v>0</v>
      </c>
      <c r="R43" s="14">
        <f ca="1">GAB2PERIODO!P8</f>
        <v>0</v>
      </c>
      <c r="S43" s="14">
        <f ca="1">GAB2PERIODO!Q8</f>
        <v>0</v>
      </c>
      <c r="T43" s="14">
        <f ca="1">GAB2PERIODO!R8</f>
        <v>0</v>
      </c>
      <c r="U43" s="15">
        <f ca="1">GAB2PERIODO!S8</f>
        <v>0</v>
      </c>
    </row>
    <row r="44" spans="1:21" ht="39.75" customHeight="1">
      <c r="A44" s="53"/>
      <c r="B44" s="51"/>
      <c r="C44" s="29" t="s">
        <v>77</v>
      </c>
      <c r="D44" s="8">
        <v>19</v>
      </c>
      <c r="E44" s="30" t="s">
        <v>494</v>
      </c>
      <c r="F44" s="30" t="s">
        <v>286</v>
      </c>
      <c r="G44" s="30" t="s">
        <v>292</v>
      </c>
      <c r="H44" s="9">
        <f ca="1">GAB2PERIODO!F9</f>
        <v>0</v>
      </c>
      <c r="I44" s="14">
        <f ca="1">GAB2PERIODO!G9</f>
        <v>0</v>
      </c>
      <c r="J44" s="14">
        <f ca="1">GAB2PERIODO!H9</f>
        <v>0</v>
      </c>
      <c r="K44" s="14">
        <f ca="1">GAB2PERIODO!I9</f>
        <v>0</v>
      </c>
      <c r="L44" s="14">
        <f ca="1">GAB2PERIODO!J9</f>
        <v>0</v>
      </c>
      <c r="M44" s="14">
        <f ca="1">GAB2PERIODO!K9</f>
        <v>0</v>
      </c>
      <c r="N44" s="14">
        <f ca="1">GAB2PERIODO!L9</f>
        <v>0</v>
      </c>
      <c r="O44" s="14">
        <f ca="1">GAB2PERIODO!M9</f>
        <v>0</v>
      </c>
      <c r="P44" s="14">
        <f ca="1">GAB2PERIODO!N9</f>
        <v>0</v>
      </c>
      <c r="Q44" s="14">
        <f ca="1">GAB2PERIODO!O9</f>
        <v>0</v>
      </c>
      <c r="R44" s="14">
        <f ca="1">GAB2PERIODO!P9</f>
        <v>0</v>
      </c>
      <c r="S44" s="14">
        <f ca="1">GAB2PERIODO!Q9</f>
        <v>0</v>
      </c>
      <c r="T44" s="14">
        <f ca="1">GAB2PERIODO!R9</f>
        <v>0</v>
      </c>
      <c r="U44" s="15">
        <f ca="1">GAB2PERIODO!S9</f>
        <v>0</v>
      </c>
    </row>
    <row r="45" spans="1:21" ht="39.75" customHeight="1">
      <c r="A45" s="53"/>
      <c r="B45" s="52" t="s">
        <v>78</v>
      </c>
      <c r="C45" s="29" t="s">
        <v>79</v>
      </c>
      <c r="D45" s="8">
        <v>45</v>
      </c>
      <c r="E45" s="30" t="s">
        <v>496</v>
      </c>
      <c r="F45" s="30" t="s">
        <v>286</v>
      </c>
      <c r="G45" s="30" t="s">
        <v>292</v>
      </c>
      <c r="H45" s="9">
        <f ca="1">GAB2PERIODO!F10</f>
        <v>45</v>
      </c>
      <c r="I45" s="14">
        <f ca="1">GAB2PERIODO!G10</f>
        <v>2</v>
      </c>
      <c r="J45" s="14">
        <f ca="1">GAB2PERIODO!H10</f>
        <v>4</v>
      </c>
      <c r="K45" s="14">
        <f ca="1">GAB2PERIODO!I10</f>
        <v>1</v>
      </c>
      <c r="L45" s="14">
        <f ca="1">GAB2PERIODO!J10</f>
        <v>2</v>
      </c>
      <c r="M45" s="14">
        <f ca="1">GAB2PERIODO!K10</f>
        <v>0</v>
      </c>
      <c r="N45" s="14">
        <f ca="1">GAB2PERIODO!L10</f>
        <v>0</v>
      </c>
      <c r="O45" s="14">
        <f ca="1">GAB2PERIODO!M10</f>
        <v>0</v>
      </c>
      <c r="P45" s="14">
        <f ca="1">GAB2PERIODO!N10</f>
        <v>0</v>
      </c>
      <c r="Q45" s="14">
        <f ca="1">GAB2PERIODO!O10</f>
        <v>0</v>
      </c>
      <c r="R45" s="14">
        <f ca="1">GAB2PERIODO!P10</f>
        <v>0</v>
      </c>
      <c r="S45" s="14">
        <f ca="1">GAB2PERIODO!Q10</f>
        <v>0</v>
      </c>
      <c r="T45" s="14">
        <f ca="1">GAB2PERIODO!R10</f>
        <v>0</v>
      </c>
      <c r="U45" s="15">
        <f ca="1">GAB2PERIODO!S10</f>
        <v>9</v>
      </c>
    </row>
    <row r="46" spans="1:21" ht="39.75" customHeight="1">
      <c r="A46" s="53"/>
      <c r="B46" s="53"/>
      <c r="C46" s="29" t="s">
        <v>80</v>
      </c>
      <c r="D46" s="8">
        <v>27</v>
      </c>
      <c r="E46" s="30" t="s">
        <v>497</v>
      </c>
      <c r="F46" s="30" t="s">
        <v>286</v>
      </c>
      <c r="G46" s="30" t="s">
        <v>292</v>
      </c>
      <c r="H46" s="9">
        <f ca="1">GAB2PERIODO!F11</f>
        <v>44.4444444444444</v>
      </c>
      <c r="I46" s="14">
        <f ca="1">GAB2PERIODO!G11</f>
        <v>4</v>
      </c>
      <c r="J46" s="14">
        <f ca="1">GAB2PERIODO!H11</f>
        <v>2</v>
      </c>
      <c r="K46" s="14">
        <f ca="1">GAB2PERIODO!I11</f>
        <v>0</v>
      </c>
      <c r="L46" s="14">
        <f ca="1">GAB2PERIODO!J11</f>
        <v>2</v>
      </c>
      <c r="M46" s="14">
        <f ca="1">GAB2PERIODO!K11</f>
        <v>0</v>
      </c>
      <c r="N46" s="14">
        <f ca="1">GAB2PERIODO!L11</f>
        <v>0</v>
      </c>
      <c r="O46" s="14">
        <f ca="1">GAB2PERIODO!M11</f>
        <v>0</v>
      </c>
      <c r="P46" s="14">
        <f ca="1">GAB2PERIODO!N11</f>
        <v>0</v>
      </c>
      <c r="Q46" s="14">
        <f ca="1">GAB2PERIODO!O11</f>
        <v>0</v>
      </c>
      <c r="R46" s="14">
        <f ca="1">GAB2PERIODO!P11</f>
        <v>0</v>
      </c>
      <c r="S46" s="14">
        <f ca="1">GAB2PERIODO!Q11</f>
        <v>0</v>
      </c>
      <c r="T46" s="14">
        <f ca="1">GAB2PERIODO!R11</f>
        <v>0</v>
      </c>
      <c r="U46" s="15">
        <f ca="1">GAB2PERIODO!S11</f>
        <v>8</v>
      </c>
    </row>
    <row r="47" spans="1:21" ht="39.75" customHeight="1">
      <c r="A47" s="53"/>
      <c r="B47" s="53"/>
      <c r="C47" s="29" t="s">
        <v>77</v>
      </c>
      <c r="D47" s="8">
        <v>62</v>
      </c>
      <c r="E47" s="30" t="s">
        <v>494</v>
      </c>
      <c r="F47" s="30" t="s">
        <v>286</v>
      </c>
      <c r="G47" s="30" t="s">
        <v>292</v>
      </c>
      <c r="H47" s="9">
        <f ca="1">GAB2PERIODO!F12</f>
        <v>15</v>
      </c>
      <c r="I47" s="14">
        <f ca="1">GAB2PERIODO!G12</f>
        <v>3</v>
      </c>
      <c r="J47" s="14">
        <f ca="1">GAB2PERIODO!H12</f>
        <v>5</v>
      </c>
      <c r="K47" s="14">
        <f ca="1">GAB2PERIODO!I12</f>
        <v>3</v>
      </c>
      <c r="L47" s="14">
        <f ca="1">GAB2PERIODO!J12</f>
        <v>4</v>
      </c>
      <c r="M47" s="14">
        <f ca="1">GAB2PERIODO!K12</f>
        <v>0</v>
      </c>
      <c r="N47" s="14">
        <f ca="1">GAB2PERIODO!L12</f>
        <v>0</v>
      </c>
      <c r="O47" s="14">
        <f ca="1">GAB2PERIODO!M12</f>
        <v>0</v>
      </c>
      <c r="P47" s="14">
        <f ca="1">GAB2PERIODO!N12</f>
        <v>0</v>
      </c>
      <c r="Q47" s="14">
        <f ca="1">GAB2PERIODO!O12</f>
        <v>0</v>
      </c>
      <c r="R47" s="14">
        <f ca="1">GAB2PERIODO!P12</f>
        <v>0</v>
      </c>
      <c r="S47" s="14">
        <f ca="1">GAB2PERIODO!Q12</f>
        <v>0</v>
      </c>
      <c r="T47" s="14">
        <f ca="1">GAB2PERIODO!R12</f>
        <v>0</v>
      </c>
      <c r="U47" s="15">
        <f ca="1">GAB2PERIODO!S12</f>
        <v>15</v>
      </c>
    </row>
    <row r="48" spans="1:21" ht="39.75" customHeight="1">
      <c r="A48" s="53"/>
      <c r="B48" s="53"/>
      <c r="C48" s="29" t="s">
        <v>81</v>
      </c>
      <c r="D48" s="8">
        <v>152</v>
      </c>
      <c r="E48" s="30" t="s">
        <v>495</v>
      </c>
      <c r="F48" s="30" t="s">
        <v>286</v>
      </c>
      <c r="G48" s="30" t="s">
        <v>292</v>
      </c>
      <c r="H48" s="9">
        <f ca="1">GAB2PERIODO!F13</f>
        <v>6</v>
      </c>
      <c r="I48" s="14">
        <f ca="1">GAB2PERIODO!G13</f>
        <v>5</v>
      </c>
      <c r="J48" s="14">
        <f ca="1">GAB2PERIODO!H13</f>
        <v>0</v>
      </c>
      <c r="K48" s="14">
        <f ca="1">GAB2PERIODO!I13</f>
        <v>2</v>
      </c>
      <c r="L48" s="14">
        <f ca="1">GAB2PERIODO!J13</f>
        <v>5</v>
      </c>
      <c r="M48" s="14">
        <f ca="1">GAB2PERIODO!K13</f>
        <v>0</v>
      </c>
      <c r="N48" s="14">
        <f ca="1">GAB2PERIODO!L13</f>
        <v>0</v>
      </c>
      <c r="O48" s="14">
        <f ca="1">GAB2PERIODO!M13</f>
        <v>0</v>
      </c>
      <c r="P48" s="14">
        <f ca="1">GAB2PERIODO!N13</f>
        <v>0</v>
      </c>
      <c r="Q48" s="14">
        <f ca="1">GAB2PERIODO!O13</f>
        <v>0</v>
      </c>
      <c r="R48" s="14">
        <f ca="1">GAB2PERIODO!P13</f>
        <v>0</v>
      </c>
      <c r="S48" s="14">
        <f ca="1">GAB2PERIODO!Q13</f>
        <v>0</v>
      </c>
      <c r="T48" s="14">
        <f ca="1">GAB2PERIODO!R13</f>
        <v>0</v>
      </c>
      <c r="U48" s="15">
        <f ca="1">GAB2PERIODO!S13</f>
        <v>12</v>
      </c>
    </row>
    <row r="49" spans="1:21" ht="39.75" customHeight="1">
      <c r="A49" s="53"/>
      <c r="B49" s="51"/>
      <c r="C49" s="29" t="s">
        <v>82</v>
      </c>
      <c r="D49" s="8">
        <v>25</v>
      </c>
      <c r="E49" s="30" t="s">
        <v>498</v>
      </c>
      <c r="F49" s="30" t="s">
        <v>286</v>
      </c>
      <c r="G49" s="30" t="s">
        <v>292</v>
      </c>
      <c r="H49" s="9">
        <f ca="1">GAB2PERIODO!F14</f>
        <v>45</v>
      </c>
      <c r="I49" s="14">
        <f ca="1">GAB2PERIODO!G14</f>
        <v>2</v>
      </c>
      <c r="J49" s="14">
        <f ca="1">GAB2PERIODO!H14</f>
        <v>3</v>
      </c>
      <c r="K49" s="14">
        <f ca="1">GAB2PERIODO!I14</f>
        <v>1</v>
      </c>
      <c r="L49" s="14">
        <f ca="1">GAB2PERIODO!J14</f>
        <v>3</v>
      </c>
      <c r="M49" s="14">
        <f ca="1">GAB2PERIODO!K14</f>
        <v>0</v>
      </c>
      <c r="N49" s="14">
        <f ca="1">GAB2PERIODO!L14</f>
        <v>0</v>
      </c>
      <c r="O49" s="14">
        <f ca="1">GAB2PERIODO!M14</f>
        <v>0</v>
      </c>
      <c r="P49" s="14">
        <f ca="1">GAB2PERIODO!N14</f>
        <v>0</v>
      </c>
      <c r="Q49" s="14">
        <f ca="1">GAB2PERIODO!O14</f>
        <v>0</v>
      </c>
      <c r="R49" s="14">
        <f ca="1">GAB2PERIODO!P14</f>
        <v>0</v>
      </c>
      <c r="S49" s="14">
        <f ca="1">GAB2PERIODO!Q14</f>
        <v>0</v>
      </c>
      <c r="T49" s="14">
        <f ca="1">GAB2PERIODO!R14</f>
        <v>0</v>
      </c>
      <c r="U49" s="15">
        <f ca="1">GAB2PERIODO!S14</f>
        <v>9</v>
      </c>
    </row>
    <row r="50" spans="1:21" ht="39.75" customHeight="1">
      <c r="A50" s="53"/>
      <c r="B50" s="52" t="s">
        <v>83</v>
      </c>
      <c r="C50" s="29" t="s">
        <v>84</v>
      </c>
      <c r="D50" s="8">
        <v>13</v>
      </c>
      <c r="E50" s="30" t="s">
        <v>498</v>
      </c>
      <c r="F50" s="30" t="s">
        <v>286</v>
      </c>
      <c r="G50" s="30" t="s">
        <v>292</v>
      </c>
      <c r="H50" s="9">
        <f ca="1">GAB2PERIODO!F15</f>
        <v>0</v>
      </c>
      <c r="I50" s="14">
        <f ca="1">GAB2PERIODO!G15</f>
        <v>0</v>
      </c>
      <c r="J50" s="14">
        <f ca="1">GAB2PERIODO!H15</f>
        <v>0</v>
      </c>
      <c r="K50" s="14">
        <f ca="1">GAB2PERIODO!I15</f>
        <v>0</v>
      </c>
      <c r="L50" s="14">
        <f ca="1">GAB2PERIODO!J15</f>
        <v>0</v>
      </c>
      <c r="M50" s="14">
        <f ca="1">GAB2PERIODO!K15</f>
        <v>0</v>
      </c>
      <c r="N50" s="14">
        <f ca="1">GAB2PERIODO!L15</f>
        <v>0</v>
      </c>
      <c r="O50" s="14">
        <f ca="1">GAB2PERIODO!M15</f>
        <v>0</v>
      </c>
      <c r="P50" s="14">
        <f ca="1">GAB2PERIODO!N15</f>
        <v>0</v>
      </c>
      <c r="Q50" s="14">
        <f ca="1">GAB2PERIODO!O15</f>
        <v>0</v>
      </c>
      <c r="R50" s="14">
        <f ca="1">GAB2PERIODO!P15</f>
        <v>0</v>
      </c>
      <c r="S50" s="14">
        <f ca="1">GAB2PERIODO!Q15</f>
        <v>0</v>
      </c>
      <c r="T50" s="14">
        <f ca="1">GAB2PERIODO!R15</f>
        <v>0</v>
      </c>
      <c r="U50" s="15">
        <f ca="1">GAB2PERIODO!S15</f>
        <v>0</v>
      </c>
    </row>
    <row r="51" spans="1:21" ht="39.75" customHeight="1">
      <c r="A51" s="53"/>
      <c r="B51" s="53"/>
      <c r="C51" s="29" t="s">
        <v>72</v>
      </c>
      <c r="D51" s="8">
        <v>19</v>
      </c>
      <c r="E51" s="30" t="s">
        <v>499</v>
      </c>
      <c r="F51" s="30" t="s">
        <v>286</v>
      </c>
      <c r="G51" s="30" t="s">
        <v>292</v>
      </c>
      <c r="H51" s="9">
        <f ca="1">GAB2PERIODO!F16</f>
        <v>0</v>
      </c>
      <c r="I51" s="14">
        <f ca="1">GAB2PERIODO!G16</f>
        <v>0</v>
      </c>
      <c r="J51" s="14">
        <f ca="1">GAB2PERIODO!H16</f>
        <v>0</v>
      </c>
      <c r="K51" s="14">
        <f ca="1">GAB2PERIODO!I16</f>
        <v>0</v>
      </c>
      <c r="L51" s="14">
        <f ca="1">GAB2PERIODO!J16</f>
        <v>0</v>
      </c>
      <c r="M51" s="14">
        <f ca="1">GAB2PERIODO!K16</f>
        <v>0</v>
      </c>
      <c r="N51" s="14">
        <f ca="1">GAB2PERIODO!L16</f>
        <v>0</v>
      </c>
      <c r="O51" s="14">
        <f ca="1">GAB2PERIODO!M16</f>
        <v>0</v>
      </c>
      <c r="P51" s="14">
        <f ca="1">GAB2PERIODO!N16</f>
        <v>0</v>
      </c>
      <c r="Q51" s="14">
        <f ca="1">GAB2PERIODO!O16</f>
        <v>0</v>
      </c>
      <c r="R51" s="14">
        <f ca="1">GAB2PERIODO!P16</f>
        <v>0</v>
      </c>
      <c r="S51" s="14">
        <f ca="1">GAB2PERIODO!Q16</f>
        <v>0</v>
      </c>
      <c r="T51" s="14">
        <f ca="1">GAB2PERIODO!R16</f>
        <v>0</v>
      </c>
      <c r="U51" s="15">
        <f ca="1">GAB2PERIODO!S16</f>
        <v>0</v>
      </c>
    </row>
    <row r="52" spans="1:21" ht="39.75" customHeight="1">
      <c r="A52" s="51"/>
      <c r="B52" s="51"/>
      <c r="C52" s="29" t="s">
        <v>85</v>
      </c>
      <c r="D52" s="8">
        <v>16</v>
      </c>
      <c r="E52" s="30" t="s">
        <v>500</v>
      </c>
      <c r="F52" s="30" t="s">
        <v>286</v>
      </c>
      <c r="G52" s="30" t="s">
        <v>292</v>
      </c>
      <c r="H52" s="9">
        <f ca="1">GAB2PERIODO!F17</f>
        <v>0</v>
      </c>
      <c r="I52" s="14">
        <f ca="1">GAB2PERIODO!G17</f>
        <v>0</v>
      </c>
      <c r="J52" s="14">
        <f ca="1">GAB2PERIODO!H17</f>
        <v>0</v>
      </c>
      <c r="K52" s="14">
        <f ca="1">GAB2PERIODO!I17</f>
        <v>0</v>
      </c>
      <c r="L52" s="14">
        <f ca="1">GAB2PERIODO!J17</f>
        <v>0</v>
      </c>
      <c r="M52" s="14">
        <f ca="1">GAB2PERIODO!K17</f>
        <v>0</v>
      </c>
      <c r="N52" s="14">
        <f ca="1">GAB2PERIODO!L17</f>
        <v>0</v>
      </c>
      <c r="O52" s="14">
        <f ca="1">GAB2PERIODO!M17</f>
        <v>0</v>
      </c>
      <c r="P52" s="14">
        <f ca="1">GAB2PERIODO!N17</f>
        <v>0</v>
      </c>
      <c r="Q52" s="14">
        <f ca="1">GAB2PERIODO!O17</f>
        <v>0</v>
      </c>
      <c r="R52" s="14">
        <f ca="1">GAB2PERIODO!P17</f>
        <v>0</v>
      </c>
      <c r="S52" s="14">
        <f ca="1">GAB2PERIODO!Q17</f>
        <v>0</v>
      </c>
      <c r="T52" s="14">
        <f ca="1">GAB2PERIODO!R17</f>
        <v>0</v>
      </c>
      <c r="U52" s="15">
        <f ca="1">GAB2PERIODO!S17</f>
        <v>0</v>
      </c>
    </row>
    <row r="53" spans="1:21" ht="39.75" customHeight="1">
      <c r="A53" s="55" t="s">
        <v>86</v>
      </c>
      <c r="B53" s="55" t="s">
        <v>87</v>
      </c>
      <c r="C53" s="7" t="s">
        <v>88</v>
      </c>
      <c r="D53" s="16">
        <v>1045</v>
      </c>
      <c r="E53" s="17" t="str">
        <f ca="1">TESORERIA1PERIODO!C2</f>
        <v>CERTIFICACIONES</v>
      </c>
      <c r="F53" s="17" t="str">
        <f ca="1">TESORERIA1PERIODO!D2</f>
        <v>ASCENDENTE</v>
      </c>
      <c r="G53" s="17" t="str">
        <f ca="1">TESORERIA1PERIODO!E2</f>
        <v>SESIONES PUBLICAS</v>
      </c>
      <c r="H53" s="18">
        <f ca="1">TESORERIA2PERIODO!F2</f>
        <v>0</v>
      </c>
      <c r="I53" s="19">
        <f ca="1">TESORERIA2PERIODO!G2</f>
        <v>0</v>
      </c>
      <c r="J53" s="19">
        <f ca="1">TESORERIA2PERIODO!H2</f>
        <v>0</v>
      </c>
      <c r="K53" s="19">
        <f ca="1">TESORERIA2PERIODO!I2</f>
        <v>0</v>
      </c>
      <c r="L53" s="19">
        <f ca="1">TESORERIA2PERIODO!J2</f>
        <v>0</v>
      </c>
      <c r="M53" s="19">
        <f ca="1">TESORERIA2PERIODO!K2</f>
        <v>0</v>
      </c>
      <c r="N53" s="19">
        <f ca="1">TESORERIA2PERIODO!L2</f>
        <v>0</v>
      </c>
      <c r="O53" s="19">
        <f ca="1">TESORERIA2PERIODO!M2</f>
        <v>0</v>
      </c>
      <c r="P53" s="19">
        <f ca="1">TESORERIA2PERIODO!N2</f>
        <v>0</v>
      </c>
      <c r="Q53" s="19">
        <f ca="1">TESORERIA2PERIODO!O2</f>
        <v>0</v>
      </c>
      <c r="R53" s="19">
        <f ca="1">TESORERIA2PERIODO!P2</f>
        <v>0</v>
      </c>
      <c r="S53" s="19">
        <f ca="1">TESORERIA2PERIODO!Q2</f>
        <v>0</v>
      </c>
      <c r="T53" s="19">
        <f ca="1">TESORERIA2PERIODO!R2</f>
        <v>0</v>
      </c>
      <c r="U53" s="21">
        <f ca="1">TESORERIA2PERIODO!S2</f>
        <v>0</v>
      </c>
    </row>
    <row r="54" spans="1:21" ht="39.75" customHeight="1">
      <c r="A54" s="53"/>
      <c r="B54" s="53"/>
      <c r="C54" s="7" t="s">
        <v>90</v>
      </c>
      <c r="D54" s="16">
        <v>126407</v>
      </c>
      <c r="E54" s="17" t="str">
        <f ca="1">TESORERIA1PERIODO!C3</f>
        <v>COPIAS</v>
      </c>
      <c r="F54" s="17" t="str">
        <f ca="1">TESORERIA1PERIODO!D3</f>
        <v>ASCENDENTE</v>
      </c>
      <c r="G54" s="17" t="str">
        <f ca="1">TESORERIA1PERIODO!E3</f>
        <v>BITACORA DE ATENCION</v>
      </c>
      <c r="H54" s="18">
        <f ca="1">TESORERIA2PERIODO!F3</f>
        <v>0</v>
      </c>
      <c r="I54" s="19">
        <f ca="1">TESORERIA2PERIODO!G3</f>
        <v>0</v>
      </c>
      <c r="J54" s="19">
        <f ca="1">TESORERIA2PERIODO!H3</f>
        <v>0</v>
      </c>
      <c r="K54" s="19">
        <f ca="1">TESORERIA2PERIODO!I3</f>
        <v>0</v>
      </c>
      <c r="L54" s="19">
        <f ca="1">TESORERIA2PERIODO!J3</f>
        <v>0</v>
      </c>
      <c r="M54" s="19">
        <f ca="1">TESORERIA2PERIODO!K3</f>
        <v>0</v>
      </c>
      <c r="N54" s="19">
        <f ca="1">TESORERIA2PERIODO!L3</f>
        <v>0</v>
      </c>
      <c r="O54" s="19">
        <f ca="1">TESORERIA2PERIODO!M3</f>
        <v>0</v>
      </c>
      <c r="P54" s="19">
        <f ca="1">TESORERIA2PERIODO!N3</f>
        <v>0</v>
      </c>
      <c r="Q54" s="19">
        <f ca="1">TESORERIA2PERIODO!O3</f>
        <v>0</v>
      </c>
      <c r="R54" s="19">
        <f ca="1">TESORERIA2PERIODO!P3</f>
        <v>0</v>
      </c>
      <c r="S54" s="19">
        <f ca="1">TESORERIA2PERIODO!Q3</f>
        <v>0</v>
      </c>
      <c r="T54" s="19">
        <f ca="1">TESORERIA2PERIODO!R3</f>
        <v>0</v>
      </c>
      <c r="U54" s="21">
        <f ca="1">TESORERIA2PERIODO!S3</f>
        <v>0</v>
      </c>
    </row>
    <row r="55" spans="1:21" ht="39.75" customHeight="1">
      <c r="A55" s="53"/>
      <c r="B55" s="53"/>
      <c r="C55" s="7" t="s">
        <v>91</v>
      </c>
      <c r="D55" s="16">
        <v>1321</v>
      </c>
      <c r="E55" s="17" t="str">
        <f ca="1">TESORERIA1PERIODO!C4</f>
        <v>VALUACIONES</v>
      </c>
      <c r="F55" s="17" t="str">
        <f ca="1">TESORERIA1PERIODO!D4</f>
        <v>ASCENDENTE</v>
      </c>
      <c r="G55" s="17" t="str">
        <f ca="1">TESORERIA1PERIODO!E4</f>
        <v>BITACORA DE ATENCION</v>
      </c>
      <c r="H55" s="18">
        <f ca="1">TESORERIA2PERIODO!F4</f>
        <v>0</v>
      </c>
      <c r="I55" s="19">
        <f ca="1">TESORERIA2PERIODO!G4</f>
        <v>0</v>
      </c>
      <c r="J55" s="19">
        <f ca="1">TESORERIA2PERIODO!H4</f>
        <v>0</v>
      </c>
      <c r="K55" s="19">
        <f ca="1">TESORERIA2PERIODO!I4</f>
        <v>0</v>
      </c>
      <c r="L55" s="19">
        <f ca="1">TESORERIA2PERIODO!J4</f>
        <v>0</v>
      </c>
      <c r="M55" s="19">
        <f ca="1">TESORERIA2PERIODO!K4</f>
        <v>0</v>
      </c>
      <c r="N55" s="19">
        <f ca="1">TESORERIA2PERIODO!L4</f>
        <v>0</v>
      </c>
      <c r="O55" s="19">
        <f ca="1">TESORERIA2PERIODO!M4</f>
        <v>0</v>
      </c>
      <c r="P55" s="19">
        <f ca="1">TESORERIA2PERIODO!N4</f>
        <v>0</v>
      </c>
      <c r="Q55" s="19">
        <f ca="1">TESORERIA2PERIODO!O4</f>
        <v>0</v>
      </c>
      <c r="R55" s="19">
        <f ca="1">TESORERIA2PERIODO!P4</f>
        <v>0</v>
      </c>
      <c r="S55" s="19">
        <f ca="1">TESORERIA2PERIODO!Q4</f>
        <v>0</v>
      </c>
      <c r="T55" s="19">
        <f ca="1">TESORERIA2PERIODO!R4</f>
        <v>0</v>
      </c>
      <c r="U55" s="21">
        <f ca="1">TESORERIA2PERIODO!S4</f>
        <v>0</v>
      </c>
    </row>
    <row r="56" spans="1:21" ht="39.75" customHeight="1">
      <c r="A56" s="53"/>
      <c r="B56" s="51"/>
      <c r="C56" s="7" t="s">
        <v>92</v>
      </c>
      <c r="D56" s="16">
        <v>37306</v>
      </c>
      <c r="E56" s="17" t="str">
        <f ca="1">TESORERIA1PERIODO!C5</f>
        <v>REGISTROS</v>
      </c>
      <c r="F56" s="17" t="str">
        <f ca="1">TESORERIA1PERIODO!D5</f>
        <v>ASCENDENTE</v>
      </c>
      <c r="G56" s="17" t="str">
        <f ca="1">TESORERIA1PERIODO!E5</f>
        <v>BITACORA OPERATIVA</v>
      </c>
      <c r="H56" s="18">
        <f ca="1">TESORERIA2PERIODO!F5</f>
        <v>0</v>
      </c>
      <c r="I56" s="19">
        <f ca="1">TESORERIA2PERIODO!G5</f>
        <v>0</v>
      </c>
      <c r="J56" s="19">
        <f ca="1">TESORERIA2PERIODO!H5</f>
        <v>0</v>
      </c>
      <c r="K56" s="19">
        <f ca="1">TESORERIA2PERIODO!I5</f>
        <v>0</v>
      </c>
      <c r="L56" s="19">
        <f ca="1">TESORERIA2PERIODO!J5</f>
        <v>0</v>
      </c>
      <c r="M56" s="19">
        <f ca="1">TESORERIA2PERIODO!K5</f>
        <v>0</v>
      </c>
      <c r="N56" s="19">
        <f ca="1">TESORERIA2PERIODO!L5</f>
        <v>0</v>
      </c>
      <c r="O56" s="19">
        <f ca="1">TESORERIA2PERIODO!M5</f>
        <v>0</v>
      </c>
      <c r="P56" s="19">
        <f ca="1">TESORERIA2PERIODO!N5</f>
        <v>0</v>
      </c>
      <c r="Q56" s="19">
        <f ca="1">TESORERIA2PERIODO!O5</f>
        <v>0</v>
      </c>
      <c r="R56" s="19">
        <f ca="1">TESORERIA2PERIODO!P5</f>
        <v>0</v>
      </c>
      <c r="S56" s="19">
        <f ca="1">TESORERIA2PERIODO!Q5</f>
        <v>0</v>
      </c>
      <c r="T56" s="19">
        <f ca="1">TESORERIA2PERIODO!R5</f>
        <v>0</v>
      </c>
      <c r="U56" s="21">
        <f ca="1">TESORERIA2PERIODO!S5</f>
        <v>0</v>
      </c>
    </row>
    <row r="57" spans="1:21" ht="39.75" customHeight="1">
      <c r="A57" s="53"/>
      <c r="B57" s="50" t="s">
        <v>93</v>
      </c>
      <c r="C57" s="7" t="s">
        <v>94</v>
      </c>
      <c r="D57" s="16">
        <v>6</v>
      </c>
      <c r="E57" s="17" t="str">
        <f ca="1">TESORERIA1PERIODO!C6</f>
        <v>CUENTAS</v>
      </c>
      <c r="F57" s="17" t="str">
        <f ca="1">TESORERIA1PERIODO!D6</f>
        <v>ASCENDENTE</v>
      </c>
      <c r="G57" s="17" t="str">
        <f ca="1">TESORERIA1PERIODO!E6</f>
        <v>BITACORA OPERATIVA</v>
      </c>
      <c r="H57" s="18">
        <f ca="1">TESORERIA2PERIODO!F6</f>
        <v>0</v>
      </c>
      <c r="I57" s="19">
        <f ca="1">TESORERIA2PERIODO!G6</f>
        <v>0</v>
      </c>
      <c r="J57" s="19">
        <f ca="1">TESORERIA2PERIODO!H6</f>
        <v>0</v>
      </c>
      <c r="K57" s="19">
        <f ca="1">TESORERIA2PERIODO!I6</f>
        <v>0</v>
      </c>
      <c r="L57" s="19">
        <f ca="1">TESORERIA2PERIODO!J6</f>
        <v>0</v>
      </c>
      <c r="M57" s="19">
        <f ca="1">TESORERIA2PERIODO!K6</f>
        <v>0</v>
      </c>
      <c r="N57" s="19">
        <f ca="1">TESORERIA2PERIODO!L6</f>
        <v>0</v>
      </c>
      <c r="O57" s="19">
        <f ca="1">TESORERIA2PERIODO!M6</f>
        <v>0</v>
      </c>
      <c r="P57" s="19">
        <f ca="1">TESORERIA2PERIODO!N6</f>
        <v>0</v>
      </c>
      <c r="Q57" s="19">
        <f ca="1">TESORERIA2PERIODO!O6</f>
        <v>0</v>
      </c>
      <c r="R57" s="19">
        <f ca="1">TESORERIA2PERIODO!P6</f>
        <v>0</v>
      </c>
      <c r="S57" s="19">
        <f ca="1">TESORERIA2PERIODO!Q6</f>
        <v>0</v>
      </c>
      <c r="T57" s="19">
        <f ca="1">TESORERIA2PERIODO!R6</f>
        <v>0</v>
      </c>
      <c r="U57" s="21">
        <f ca="1">TESORERIA2PERIODO!S6</f>
        <v>0</v>
      </c>
    </row>
    <row r="58" spans="1:21" ht="39.75" customHeight="1">
      <c r="A58" s="53"/>
      <c r="B58" s="53"/>
      <c r="C58" s="22" t="s">
        <v>95</v>
      </c>
      <c r="D58" s="16">
        <v>6</v>
      </c>
      <c r="E58" s="17" t="str">
        <f ca="1">TESORERIA1PERIODO!C7</f>
        <v>AUDITORIAS</v>
      </c>
      <c r="F58" s="17" t="str">
        <f ca="1">TESORERIA1PERIODO!D7</f>
        <v>ASCENDENTE</v>
      </c>
      <c r="G58" s="17" t="str">
        <f ca="1">TESORERIA1PERIODO!E7</f>
        <v>BITACORA OPERATIVA</v>
      </c>
      <c r="H58" s="18">
        <f ca="1">TESORERIA2PERIODO!F7</f>
        <v>0</v>
      </c>
      <c r="I58" s="19">
        <f ca="1">TESORERIA2PERIODO!G7</f>
        <v>0</v>
      </c>
      <c r="J58" s="19">
        <f ca="1">TESORERIA2PERIODO!H7</f>
        <v>0</v>
      </c>
      <c r="K58" s="19">
        <f ca="1">TESORERIA2PERIODO!I7</f>
        <v>0</v>
      </c>
      <c r="L58" s="19">
        <f ca="1">TESORERIA2PERIODO!J7</f>
        <v>0</v>
      </c>
      <c r="M58" s="19">
        <f ca="1">TESORERIA2PERIODO!K7</f>
        <v>0</v>
      </c>
      <c r="N58" s="19">
        <f ca="1">TESORERIA2PERIODO!L7</f>
        <v>0</v>
      </c>
      <c r="O58" s="19">
        <f ca="1">TESORERIA2PERIODO!M7</f>
        <v>0</v>
      </c>
      <c r="P58" s="19">
        <f ca="1">TESORERIA2PERIODO!N7</f>
        <v>0</v>
      </c>
      <c r="Q58" s="19">
        <f ca="1">TESORERIA2PERIODO!O7</f>
        <v>0</v>
      </c>
      <c r="R58" s="19">
        <f ca="1">TESORERIA2PERIODO!P7</f>
        <v>0</v>
      </c>
      <c r="S58" s="19">
        <f ca="1">TESORERIA2PERIODO!Q7</f>
        <v>0</v>
      </c>
      <c r="T58" s="19">
        <f ca="1">TESORERIA2PERIODO!R7</f>
        <v>0</v>
      </c>
      <c r="U58" s="21">
        <f ca="1">TESORERIA2PERIODO!S7</f>
        <v>0</v>
      </c>
    </row>
    <row r="59" spans="1:21" ht="39.75" customHeight="1">
      <c r="A59" s="53"/>
      <c r="B59" s="53"/>
      <c r="C59" s="22" t="s">
        <v>96</v>
      </c>
      <c r="D59" s="16">
        <v>0</v>
      </c>
      <c r="E59" s="17" t="str">
        <f ca="1">TESORERIA1PERIODO!C8</f>
        <v>AUDITORIAS INTERNAS</v>
      </c>
      <c r="F59" s="17" t="str">
        <f ca="1">TESORERIA1PERIODO!D8</f>
        <v>ASCENDENTE</v>
      </c>
      <c r="G59" s="17" t="str">
        <f ca="1">TESORERIA1PERIODO!E8</f>
        <v>BITACORA OPERATIVA</v>
      </c>
      <c r="H59" s="18">
        <f ca="1">TESORERIA2PERIODO!F8</f>
        <v>0</v>
      </c>
      <c r="I59" s="19">
        <f ca="1">TESORERIA2PERIODO!G8</f>
        <v>0</v>
      </c>
      <c r="J59" s="19">
        <f ca="1">TESORERIA2PERIODO!H8</f>
        <v>0</v>
      </c>
      <c r="K59" s="19">
        <f ca="1">TESORERIA2PERIODO!I8</f>
        <v>0</v>
      </c>
      <c r="L59" s="19">
        <f ca="1">TESORERIA2PERIODO!J8</f>
        <v>0</v>
      </c>
      <c r="M59" s="19">
        <f ca="1">TESORERIA2PERIODO!K8</f>
        <v>0</v>
      </c>
      <c r="N59" s="19">
        <f ca="1">TESORERIA2PERIODO!L8</f>
        <v>0</v>
      </c>
      <c r="O59" s="19">
        <f ca="1">TESORERIA2PERIODO!M8</f>
        <v>0</v>
      </c>
      <c r="P59" s="19">
        <f ca="1">TESORERIA2PERIODO!N8</f>
        <v>0</v>
      </c>
      <c r="Q59" s="19">
        <f ca="1">TESORERIA2PERIODO!O8</f>
        <v>0</v>
      </c>
      <c r="R59" s="19">
        <f ca="1">TESORERIA2PERIODO!P8</f>
        <v>0</v>
      </c>
      <c r="S59" s="19">
        <f ca="1">TESORERIA2PERIODO!Q8</f>
        <v>0</v>
      </c>
      <c r="T59" s="19">
        <f ca="1">TESORERIA2PERIODO!R8</f>
        <v>0</v>
      </c>
      <c r="U59" s="21">
        <f ca="1">TESORERIA2PERIODO!S8</f>
        <v>0</v>
      </c>
    </row>
    <row r="60" spans="1:21" ht="39.75" customHeight="1">
      <c r="A60" s="53"/>
      <c r="B60" s="53"/>
      <c r="C60" s="22" t="s">
        <v>97</v>
      </c>
      <c r="D60" s="16">
        <v>100</v>
      </c>
      <c r="E60" s="17" t="str">
        <f ca="1">TESORERIA1PERIODO!C9</f>
        <v>AVANCE</v>
      </c>
      <c r="F60" s="17" t="str">
        <f ca="1">TESORERIA1PERIODO!D9</f>
        <v>ASCENDENTE</v>
      </c>
      <c r="G60" s="17" t="str">
        <f ca="1">TESORERIA1PERIODO!E9</f>
        <v>BITACORA OPERATIVA</v>
      </c>
      <c r="H60" s="18">
        <f ca="1">TESORERIA2PERIODO!F9</f>
        <v>0</v>
      </c>
      <c r="I60" s="19">
        <f ca="1">TESORERIA2PERIODO!G9</f>
        <v>0</v>
      </c>
      <c r="J60" s="19">
        <f ca="1">TESORERIA2PERIODO!H9</f>
        <v>0</v>
      </c>
      <c r="K60" s="19">
        <f ca="1">TESORERIA2PERIODO!I9</f>
        <v>0</v>
      </c>
      <c r="L60" s="19">
        <f ca="1">TESORERIA2PERIODO!J9</f>
        <v>0</v>
      </c>
      <c r="M60" s="19">
        <f ca="1">TESORERIA2PERIODO!K9</f>
        <v>0</v>
      </c>
      <c r="N60" s="19">
        <f ca="1">TESORERIA2PERIODO!L9</f>
        <v>0</v>
      </c>
      <c r="O60" s="19">
        <f ca="1">TESORERIA2PERIODO!M9</f>
        <v>0</v>
      </c>
      <c r="P60" s="19">
        <f ca="1">TESORERIA2PERIODO!N9</f>
        <v>0</v>
      </c>
      <c r="Q60" s="19">
        <f ca="1">TESORERIA2PERIODO!O9</f>
        <v>0</v>
      </c>
      <c r="R60" s="19">
        <f ca="1">TESORERIA2PERIODO!P9</f>
        <v>0</v>
      </c>
      <c r="S60" s="19">
        <f ca="1">TESORERIA2PERIODO!Q9</f>
        <v>0</v>
      </c>
      <c r="T60" s="19">
        <f ca="1">TESORERIA2PERIODO!R9</f>
        <v>0</v>
      </c>
      <c r="U60" s="21">
        <f ca="1">TESORERIA2PERIODO!S9</f>
        <v>0</v>
      </c>
    </row>
    <row r="61" spans="1:21" ht="39.75" customHeight="1">
      <c r="A61" s="53"/>
      <c r="B61" s="53"/>
      <c r="C61" s="22" t="s">
        <v>98</v>
      </c>
      <c r="D61" s="16">
        <v>100</v>
      </c>
      <c r="E61" s="17" t="str">
        <f ca="1">TESORERIA1PERIODO!C10</f>
        <v>AVANCE</v>
      </c>
      <c r="F61" s="17" t="str">
        <f ca="1">TESORERIA1PERIODO!D10</f>
        <v>ASCENDENTE</v>
      </c>
      <c r="G61" s="17" t="str">
        <f ca="1">TESORERIA1PERIODO!E10</f>
        <v>BITACORA OPERATIVA</v>
      </c>
      <c r="H61" s="18">
        <f ca="1">TESORERIA2PERIODO!F10</f>
        <v>0</v>
      </c>
      <c r="I61" s="19">
        <f ca="1">TESORERIA2PERIODO!G10</f>
        <v>0</v>
      </c>
      <c r="J61" s="19">
        <f ca="1">TESORERIA2PERIODO!H10</f>
        <v>0</v>
      </c>
      <c r="K61" s="19">
        <f ca="1">TESORERIA2PERIODO!I10</f>
        <v>0</v>
      </c>
      <c r="L61" s="19">
        <f ca="1">TESORERIA2PERIODO!J10</f>
        <v>0</v>
      </c>
      <c r="M61" s="19">
        <f ca="1">TESORERIA2PERIODO!K10</f>
        <v>0</v>
      </c>
      <c r="N61" s="19">
        <f ca="1">TESORERIA2PERIODO!L10</f>
        <v>0</v>
      </c>
      <c r="O61" s="19">
        <f ca="1">TESORERIA2PERIODO!M10</f>
        <v>0</v>
      </c>
      <c r="P61" s="19">
        <f ca="1">TESORERIA2PERIODO!N10</f>
        <v>0</v>
      </c>
      <c r="Q61" s="19">
        <f ca="1">TESORERIA2PERIODO!O10</f>
        <v>0</v>
      </c>
      <c r="R61" s="19">
        <f ca="1">TESORERIA2PERIODO!P10</f>
        <v>0</v>
      </c>
      <c r="S61" s="19">
        <f ca="1">TESORERIA2PERIODO!Q10</f>
        <v>0</v>
      </c>
      <c r="T61" s="19">
        <f ca="1">TESORERIA2PERIODO!R10</f>
        <v>0</v>
      </c>
      <c r="U61" s="21">
        <f ca="1">TESORERIA2PERIODO!S10</f>
        <v>0</v>
      </c>
    </row>
    <row r="62" spans="1:21" ht="39.75" customHeight="1">
      <c r="A62" s="53"/>
      <c r="B62" s="51"/>
      <c r="C62" s="22" t="s">
        <v>99</v>
      </c>
      <c r="D62" s="16">
        <v>9</v>
      </c>
      <c r="E62" s="17" t="str">
        <f ca="1">TESORERIA1PERIODO!C11</f>
        <v>AUDITORIAS FEDERALES</v>
      </c>
      <c r="F62" s="17" t="str">
        <f ca="1">TESORERIA1PERIODO!D11</f>
        <v>ASCENDENTE</v>
      </c>
      <c r="G62" s="17" t="str">
        <f ca="1">TESORERIA1PERIODO!E11</f>
        <v>BITACORA OPERATIVA</v>
      </c>
      <c r="H62" s="18">
        <f ca="1">TESORERIA2PERIODO!F11</f>
        <v>0</v>
      </c>
      <c r="I62" s="19">
        <f ca="1">TESORERIA2PERIODO!G11</f>
        <v>0</v>
      </c>
      <c r="J62" s="19">
        <f ca="1">TESORERIA2PERIODO!H11</f>
        <v>0</v>
      </c>
      <c r="K62" s="19">
        <f ca="1">TESORERIA2PERIODO!I11</f>
        <v>0</v>
      </c>
      <c r="L62" s="19">
        <f ca="1">TESORERIA2PERIODO!J11</f>
        <v>0</v>
      </c>
      <c r="M62" s="19">
        <f ca="1">TESORERIA2PERIODO!K11</f>
        <v>0</v>
      </c>
      <c r="N62" s="19">
        <f ca="1">TESORERIA2PERIODO!L11</f>
        <v>0</v>
      </c>
      <c r="O62" s="19">
        <f ca="1">TESORERIA2PERIODO!M11</f>
        <v>0</v>
      </c>
      <c r="P62" s="19">
        <f ca="1">TESORERIA2PERIODO!N11</f>
        <v>0</v>
      </c>
      <c r="Q62" s="19">
        <f ca="1">TESORERIA2PERIODO!O11</f>
        <v>0</v>
      </c>
      <c r="R62" s="19">
        <f ca="1">TESORERIA2PERIODO!P11</f>
        <v>0</v>
      </c>
      <c r="S62" s="19">
        <f ca="1">TESORERIA2PERIODO!Q11</f>
        <v>0</v>
      </c>
      <c r="T62" s="19">
        <f ca="1">TESORERIA2PERIODO!R11</f>
        <v>0</v>
      </c>
      <c r="U62" s="21">
        <f ca="1">TESORERIA2PERIODO!S11</f>
        <v>0</v>
      </c>
    </row>
    <row r="63" spans="1:21" ht="39.75" customHeight="1">
      <c r="A63" s="53"/>
      <c r="B63" s="50" t="s">
        <v>100</v>
      </c>
      <c r="C63" s="22" t="s">
        <v>101</v>
      </c>
      <c r="D63" s="16">
        <v>987</v>
      </c>
      <c r="E63" s="17" t="str">
        <f ca="1">TESORERIA1PERIODO!C12</f>
        <v>NOTIFICACIONES</v>
      </c>
      <c r="F63" s="17" t="str">
        <f ca="1">TESORERIA1PERIODO!D12</f>
        <v>ASCENDENTE</v>
      </c>
      <c r="G63" s="17" t="str">
        <f ca="1">TESORERIA1PERIODO!E12</f>
        <v>BITACORA OPERATIVA</v>
      </c>
      <c r="H63" s="18">
        <f ca="1">TESORERIA2PERIODO!F12</f>
        <v>0</v>
      </c>
      <c r="I63" s="19">
        <f ca="1">TESORERIA2PERIODO!G12</f>
        <v>0</v>
      </c>
      <c r="J63" s="19">
        <f ca="1">TESORERIA2PERIODO!H12</f>
        <v>0</v>
      </c>
      <c r="K63" s="19">
        <f ca="1">TESORERIA2PERIODO!I12</f>
        <v>0</v>
      </c>
      <c r="L63" s="19">
        <f ca="1">TESORERIA2PERIODO!J12</f>
        <v>0</v>
      </c>
      <c r="M63" s="19">
        <f ca="1">TESORERIA2PERIODO!K12</f>
        <v>0</v>
      </c>
      <c r="N63" s="19">
        <f ca="1">TESORERIA2PERIODO!L12</f>
        <v>0</v>
      </c>
      <c r="O63" s="19">
        <f ca="1">TESORERIA2PERIODO!M12</f>
        <v>0</v>
      </c>
      <c r="P63" s="19">
        <f ca="1">TESORERIA2PERIODO!N12</f>
        <v>0</v>
      </c>
      <c r="Q63" s="19">
        <f ca="1">TESORERIA2PERIODO!O12</f>
        <v>0</v>
      </c>
      <c r="R63" s="19">
        <f ca="1">TESORERIA2PERIODO!P12</f>
        <v>0</v>
      </c>
      <c r="S63" s="19">
        <f ca="1">TESORERIA2PERIODO!Q12</f>
        <v>0</v>
      </c>
      <c r="T63" s="19">
        <f ca="1">TESORERIA2PERIODO!R12</f>
        <v>0</v>
      </c>
      <c r="U63" s="21">
        <f ca="1">TESORERIA2PERIODO!S12</f>
        <v>0</v>
      </c>
    </row>
    <row r="64" spans="1:21" ht="39.75" customHeight="1">
      <c r="A64" s="53"/>
      <c r="B64" s="53"/>
      <c r="C64" s="22" t="s">
        <v>102</v>
      </c>
      <c r="D64" s="16">
        <v>0</v>
      </c>
      <c r="E64" s="17" t="str">
        <f ca="1">TESORERIA1PERIODO!C13</f>
        <v>NOTIFICACIONES</v>
      </c>
      <c r="F64" s="17" t="str">
        <f ca="1">TESORERIA1PERIODO!D13</f>
        <v>ASCENDENTE</v>
      </c>
      <c r="G64" s="17" t="str">
        <f ca="1">TESORERIA1PERIODO!E13</f>
        <v>BITACORA OPERATIVA</v>
      </c>
      <c r="H64" s="18">
        <f ca="1">TESORERIA2PERIODO!F13</f>
        <v>0</v>
      </c>
      <c r="I64" s="19">
        <f ca="1">TESORERIA2PERIODO!G13</f>
        <v>0</v>
      </c>
      <c r="J64" s="19">
        <f ca="1">TESORERIA2PERIODO!H13</f>
        <v>0</v>
      </c>
      <c r="K64" s="19">
        <f ca="1">TESORERIA2PERIODO!I13</f>
        <v>0</v>
      </c>
      <c r="L64" s="19">
        <f ca="1">TESORERIA2PERIODO!J13</f>
        <v>0</v>
      </c>
      <c r="M64" s="19">
        <f ca="1">TESORERIA2PERIODO!K13</f>
        <v>0</v>
      </c>
      <c r="N64" s="19">
        <f ca="1">TESORERIA2PERIODO!L13</f>
        <v>0</v>
      </c>
      <c r="O64" s="19">
        <f ca="1">TESORERIA2PERIODO!M13</f>
        <v>0</v>
      </c>
      <c r="P64" s="19">
        <f ca="1">TESORERIA2PERIODO!N13</f>
        <v>0</v>
      </c>
      <c r="Q64" s="19">
        <f ca="1">TESORERIA2PERIODO!O13</f>
        <v>0</v>
      </c>
      <c r="R64" s="19">
        <f ca="1">TESORERIA2PERIODO!P13</f>
        <v>0</v>
      </c>
      <c r="S64" s="19">
        <f ca="1">TESORERIA2PERIODO!Q13</f>
        <v>0</v>
      </c>
      <c r="T64" s="19">
        <f ca="1">TESORERIA2PERIODO!R13</f>
        <v>0</v>
      </c>
      <c r="U64" s="21">
        <f ca="1">TESORERIA2PERIODO!S13</f>
        <v>0</v>
      </c>
    </row>
    <row r="65" spans="1:21" ht="39.75" customHeight="1">
      <c r="A65" s="53"/>
      <c r="B65" s="53"/>
      <c r="C65" s="22" t="s">
        <v>103</v>
      </c>
      <c r="D65" s="16">
        <v>194</v>
      </c>
      <c r="E65" s="17" t="str">
        <f ca="1">TESORERIA1PERIODO!C14</f>
        <v xml:space="preserve">TOMAS CLANDESTINAS </v>
      </c>
      <c r="F65" s="17" t="str">
        <f ca="1">TESORERIA1PERIODO!D14</f>
        <v>ASCENDENTE</v>
      </c>
      <c r="G65" s="17" t="str">
        <f ca="1">TESORERIA1PERIODO!E14</f>
        <v>BITACORA OPERATIVA</v>
      </c>
      <c r="H65" s="18">
        <f ca="1">TESORERIA2PERIODO!F14</f>
        <v>0</v>
      </c>
      <c r="I65" s="19">
        <f ca="1">TESORERIA2PERIODO!G14</f>
        <v>0</v>
      </c>
      <c r="J65" s="19">
        <f ca="1">TESORERIA2PERIODO!H14</f>
        <v>0</v>
      </c>
      <c r="K65" s="19">
        <f ca="1">TESORERIA2PERIODO!I14</f>
        <v>0</v>
      </c>
      <c r="L65" s="19">
        <f ca="1">TESORERIA2PERIODO!J14</f>
        <v>0</v>
      </c>
      <c r="M65" s="19">
        <f ca="1">TESORERIA2PERIODO!K14</f>
        <v>0</v>
      </c>
      <c r="N65" s="19">
        <f ca="1">TESORERIA2PERIODO!L14</f>
        <v>0</v>
      </c>
      <c r="O65" s="19">
        <f ca="1">TESORERIA2PERIODO!M14</f>
        <v>0</v>
      </c>
      <c r="P65" s="19">
        <f ca="1">TESORERIA2PERIODO!N14</f>
        <v>0</v>
      </c>
      <c r="Q65" s="19">
        <f ca="1">TESORERIA2PERIODO!O14</f>
        <v>0</v>
      </c>
      <c r="R65" s="19">
        <f ca="1">TESORERIA2PERIODO!P14</f>
        <v>0</v>
      </c>
      <c r="S65" s="19">
        <f ca="1">TESORERIA2PERIODO!Q14</f>
        <v>0</v>
      </c>
      <c r="T65" s="19">
        <f ca="1">TESORERIA2PERIODO!R14</f>
        <v>0</v>
      </c>
      <c r="U65" s="21">
        <f ca="1">TESORERIA2PERIODO!S14</f>
        <v>0</v>
      </c>
    </row>
    <row r="66" spans="1:21" ht="39.75" customHeight="1">
      <c r="A66" s="53"/>
      <c r="B66" s="51"/>
      <c r="C66" s="22" t="s">
        <v>104</v>
      </c>
      <c r="D66" s="16">
        <v>3533</v>
      </c>
      <c r="E66" s="17" t="str">
        <f ca="1">TESORERIA1PERIODO!C15</f>
        <v>INVITACIONES</v>
      </c>
      <c r="F66" s="17" t="str">
        <f ca="1">TESORERIA1PERIODO!D15</f>
        <v>ASCENDENTE</v>
      </c>
      <c r="G66" s="17" t="str">
        <f ca="1">TESORERIA1PERIODO!E15</f>
        <v>BITACORA OPERATIVA</v>
      </c>
      <c r="H66" s="18">
        <f ca="1">TESORERIA2PERIODO!F15</f>
        <v>0</v>
      </c>
      <c r="I66" s="19">
        <f ca="1">TESORERIA2PERIODO!G15</f>
        <v>0</v>
      </c>
      <c r="J66" s="19">
        <f ca="1">TESORERIA2PERIODO!H15</f>
        <v>0</v>
      </c>
      <c r="K66" s="19">
        <f ca="1">TESORERIA2PERIODO!I15</f>
        <v>0</v>
      </c>
      <c r="L66" s="19">
        <f ca="1">TESORERIA2PERIODO!J15</f>
        <v>0</v>
      </c>
      <c r="M66" s="19">
        <f ca="1">TESORERIA2PERIODO!K15</f>
        <v>0</v>
      </c>
      <c r="N66" s="19">
        <f ca="1">TESORERIA2PERIODO!L15</f>
        <v>0</v>
      </c>
      <c r="O66" s="19">
        <f ca="1">TESORERIA2PERIODO!M15</f>
        <v>0</v>
      </c>
      <c r="P66" s="19">
        <f ca="1">TESORERIA2PERIODO!N15</f>
        <v>0</v>
      </c>
      <c r="Q66" s="19">
        <f ca="1">TESORERIA2PERIODO!O15</f>
        <v>0</v>
      </c>
      <c r="R66" s="19">
        <f ca="1">TESORERIA2PERIODO!P15</f>
        <v>0</v>
      </c>
      <c r="S66" s="19">
        <f ca="1">TESORERIA2PERIODO!Q15</f>
        <v>0</v>
      </c>
      <c r="T66" s="19">
        <f ca="1">TESORERIA2PERIODO!R15</f>
        <v>0</v>
      </c>
      <c r="U66" s="21">
        <f ca="1">TESORERIA2PERIODO!S15</f>
        <v>0</v>
      </c>
    </row>
    <row r="67" spans="1:21" ht="39.75" customHeight="1">
      <c r="A67" s="53"/>
      <c r="B67" s="23" t="s">
        <v>105</v>
      </c>
      <c r="C67" s="22" t="s">
        <v>106</v>
      </c>
      <c r="D67" s="16">
        <v>394</v>
      </c>
      <c r="E67" s="17" t="str">
        <f ca="1">TESORERIA1PERIODO!C16</f>
        <v>SOPORTES</v>
      </c>
      <c r="F67" s="17" t="str">
        <f ca="1">TESORERIA1PERIODO!D16</f>
        <v>ASCENDENTE</v>
      </c>
      <c r="G67" s="17" t="str">
        <f ca="1">TESORERIA1PERIODO!E16</f>
        <v>BITACORA OPERATIVA</v>
      </c>
      <c r="H67" s="18">
        <f ca="1">TESORERIA2PERIODO!F16</f>
        <v>0</v>
      </c>
      <c r="I67" s="19">
        <f ca="1">TESORERIA2PERIODO!G16</f>
        <v>0</v>
      </c>
      <c r="J67" s="19">
        <f ca="1">TESORERIA2PERIODO!H16</f>
        <v>0</v>
      </c>
      <c r="K67" s="19">
        <f ca="1">TESORERIA2PERIODO!I16</f>
        <v>0</v>
      </c>
      <c r="L67" s="19">
        <f ca="1">TESORERIA2PERIODO!J16</f>
        <v>0</v>
      </c>
      <c r="M67" s="19">
        <f ca="1">TESORERIA2PERIODO!K16</f>
        <v>0</v>
      </c>
      <c r="N67" s="19">
        <f ca="1">TESORERIA2PERIODO!L16</f>
        <v>0</v>
      </c>
      <c r="O67" s="19">
        <f ca="1">TESORERIA2PERIODO!M16</f>
        <v>0</v>
      </c>
      <c r="P67" s="19">
        <f ca="1">TESORERIA2PERIODO!N16</f>
        <v>0</v>
      </c>
      <c r="Q67" s="19">
        <f ca="1">TESORERIA2PERIODO!O16</f>
        <v>0</v>
      </c>
      <c r="R67" s="19">
        <f ca="1">TESORERIA2PERIODO!P16</f>
        <v>0</v>
      </c>
      <c r="S67" s="19">
        <f ca="1">TESORERIA2PERIODO!Q16</f>
        <v>0</v>
      </c>
      <c r="T67" s="19">
        <f ca="1">TESORERIA2PERIODO!R16</f>
        <v>0</v>
      </c>
      <c r="U67" s="21">
        <f ca="1">TESORERIA2PERIODO!S16</f>
        <v>0</v>
      </c>
    </row>
    <row r="68" spans="1:21" ht="39.75" customHeight="1">
      <c r="A68" s="53"/>
      <c r="B68" s="50" t="s">
        <v>107</v>
      </c>
      <c r="C68" s="22" t="s">
        <v>108</v>
      </c>
      <c r="D68" s="16">
        <v>751</v>
      </c>
      <c r="E68" s="17" t="str">
        <f ca="1">TESORERIA1PERIODO!C17</f>
        <v>NUEVAS LICENCIAS</v>
      </c>
      <c r="F68" s="17" t="str">
        <f ca="1">TESORERIA1PERIODO!D17</f>
        <v>ASCENDENTE</v>
      </c>
      <c r="G68" s="17" t="str">
        <f ca="1">TESORERIA1PERIODO!E17</f>
        <v>BITACORA OPERATIVA</v>
      </c>
      <c r="H68" s="18">
        <f ca="1">TESORERIA2PERIODO!F17</f>
        <v>0</v>
      </c>
      <c r="I68" s="19">
        <f ca="1">TESORERIA2PERIODO!G17</f>
        <v>0</v>
      </c>
      <c r="J68" s="19">
        <f ca="1">TESORERIA2PERIODO!H17</f>
        <v>0</v>
      </c>
      <c r="K68" s="19">
        <f ca="1">TESORERIA2PERIODO!I17</f>
        <v>0</v>
      </c>
      <c r="L68" s="19">
        <f ca="1">TESORERIA2PERIODO!J17</f>
        <v>0</v>
      </c>
      <c r="M68" s="19">
        <f ca="1">TESORERIA2PERIODO!K17</f>
        <v>0</v>
      </c>
      <c r="N68" s="19">
        <f ca="1">TESORERIA2PERIODO!L17</f>
        <v>0</v>
      </c>
      <c r="O68" s="19">
        <f ca="1">TESORERIA2PERIODO!M17</f>
        <v>0</v>
      </c>
      <c r="P68" s="19">
        <f ca="1">TESORERIA2PERIODO!N17</f>
        <v>0</v>
      </c>
      <c r="Q68" s="19">
        <f ca="1">TESORERIA2PERIODO!O17</f>
        <v>0</v>
      </c>
      <c r="R68" s="19">
        <f ca="1">TESORERIA2PERIODO!P17</f>
        <v>0</v>
      </c>
      <c r="S68" s="19">
        <f ca="1">TESORERIA2PERIODO!Q17</f>
        <v>0</v>
      </c>
      <c r="T68" s="19">
        <f ca="1">TESORERIA2PERIODO!R17</f>
        <v>0</v>
      </c>
      <c r="U68" s="21">
        <f ca="1">TESORERIA2PERIODO!S17</f>
        <v>0</v>
      </c>
    </row>
    <row r="69" spans="1:21" ht="39.75" customHeight="1">
      <c r="A69" s="53"/>
      <c r="B69" s="53"/>
      <c r="C69" s="22" t="s">
        <v>109</v>
      </c>
      <c r="D69" s="16">
        <v>50</v>
      </c>
      <c r="E69" s="17" t="str">
        <f ca="1">TESORERIA1PERIODO!C18</f>
        <v>REFRENDOS</v>
      </c>
      <c r="F69" s="17" t="str">
        <f ca="1">TESORERIA1PERIODO!D18</f>
        <v>ASCENDENTE</v>
      </c>
      <c r="G69" s="17" t="str">
        <f ca="1">TESORERIA1PERIODO!E18</f>
        <v>BITACORA OPERATIVA</v>
      </c>
      <c r="H69" s="18">
        <f ca="1">TESORERIA2PERIODO!F18</f>
        <v>0</v>
      </c>
      <c r="I69" s="19">
        <f ca="1">TESORERIA2PERIODO!G18</f>
        <v>0</v>
      </c>
      <c r="J69" s="19">
        <f ca="1">TESORERIA2PERIODO!H18</f>
        <v>0</v>
      </c>
      <c r="K69" s="19">
        <f ca="1">TESORERIA2PERIODO!I18</f>
        <v>0</v>
      </c>
      <c r="L69" s="19">
        <f ca="1">TESORERIA2PERIODO!J18</f>
        <v>0</v>
      </c>
      <c r="M69" s="19">
        <f ca="1">TESORERIA2PERIODO!K18</f>
        <v>0</v>
      </c>
      <c r="N69" s="19">
        <f ca="1">TESORERIA2PERIODO!L18</f>
        <v>0</v>
      </c>
      <c r="O69" s="19">
        <f ca="1">TESORERIA2PERIODO!M18</f>
        <v>0</v>
      </c>
      <c r="P69" s="19">
        <f ca="1">TESORERIA2PERIODO!N18</f>
        <v>0</v>
      </c>
      <c r="Q69" s="19">
        <f ca="1">TESORERIA2PERIODO!O18</f>
        <v>0</v>
      </c>
      <c r="R69" s="19">
        <f ca="1">TESORERIA2PERIODO!P18</f>
        <v>0</v>
      </c>
      <c r="S69" s="19">
        <f ca="1">TESORERIA2PERIODO!Q18</f>
        <v>0</v>
      </c>
      <c r="T69" s="19">
        <f ca="1">TESORERIA2PERIODO!R18</f>
        <v>0</v>
      </c>
      <c r="U69" s="21">
        <f ca="1">TESORERIA2PERIODO!S18</f>
        <v>0</v>
      </c>
    </row>
    <row r="70" spans="1:21" ht="39.75" customHeight="1">
      <c r="A70" s="53"/>
      <c r="B70" s="53"/>
      <c r="C70" s="22" t="s">
        <v>57</v>
      </c>
      <c r="D70" s="16">
        <v>69</v>
      </c>
      <c r="E70" s="17" t="str">
        <f ca="1">TESORERIA1PERIODO!C19</f>
        <v>CAMBIOS</v>
      </c>
      <c r="F70" s="17" t="str">
        <f ca="1">TESORERIA1PERIODO!D19</f>
        <v>ASCENDENTE</v>
      </c>
      <c r="G70" s="17" t="str">
        <f ca="1">TESORERIA1PERIODO!E19</f>
        <v>BITACORA OPERATIVA</v>
      </c>
      <c r="H70" s="18">
        <f ca="1">TESORERIA2PERIODO!F19</f>
        <v>0</v>
      </c>
      <c r="I70" s="19">
        <f ca="1">TESORERIA2PERIODO!G19</f>
        <v>0</v>
      </c>
      <c r="J70" s="19">
        <f ca="1">TESORERIA2PERIODO!H19</f>
        <v>0</v>
      </c>
      <c r="K70" s="19">
        <f ca="1">TESORERIA2PERIODO!I19</f>
        <v>0</v>
      </c>
      <c r="L70" s="19">
        <f ca="1">TESORERIA2PERIODO!J19</f>
        <v>0</v>
      </c>
      <c r="M70" s="19">
        <f ca="1">TESORERIA2PERIODO!K19</f>
        <v>0</v>
      </c>
      <c r="N70" s="19">
        <f ca="1">TESORERIA2PERIODO!L19</f>
        <v>0</v>
      </c>
      <c r="O70" s="19">
        <f ca="1">TESORERIA2PERIODO!M19</f>
        <v>0</v>
      </c>
      <c r="P70" s="19">
        <f ca="1">TESORERIA2PERIODO!N19</f>
        <v>0</v>
      </c>
      <c r="Q70" s="19">
        <f ca="1">TESORERIA2PERIODO!O19</f>
        <v>0</v>
      </c>
      <c r="R70" s="19">
        <f ca="1">TESORERIA2PERIODO!P19</f>
        <v>0</v>
      </c>
      <c r="S70" s="19">
        <f ca="1">TESORERIA2PERIODO!Q19</f>
        <v>0</v>
      </c>
      <c r="T70" s="19">
        <f ca="1">TESORERIA2PERIODO!R19</f>
        <v>0</v>
      </c>
      <c r="U70" s="21">
        <f ca="1">TESORERIA2PERIODO!S19</f>
        <v>0</v>
      </c>
    </row>
    <row r="71" spans="1:21" ht="39.75" customHeight="1">
      <c r="A71" s="53"/>
      <c r="B71" s="53"/>
      <c r="C71" s="22" t="s">
        <v>110</v>
      </c>
      <c r="D71" s="16">
        <v>66</v>
      </c>
      <c r="E71" s="17" t="str">
        <f ca="1">TESORERIA1PERIODO!C20</f>
        <v>CAMBIOS</v>
      </c>
      <c r="F71" s="17" t="str">
        <f ca="1">TESORERIA1PERIODO!D20</f>
        <v>ASCENDENTE</v>
      </c>
      <c r="G71" s="17" t="str">
        <f ca="1">TESORERIA1PERIODO!E20</f>
        <v>BITACORA OPERATIVA</v>
      </c>
      <c r="H71" s="18">
        <f ca="1">TESORERIA2PERIODO!F20</f>
        <v>0</v>
      </c>
      <c r="I71" s="19">
        <f ca="1">TESORERIA2PERIODO!G20</f>
        <v>0</v>
      </c>
      <c r="J71" s="19">
        <f ca="1">TESORERIA2PERIODO!H20</f>
        <v>0</v>
      </c>
      <c r="K71" s="19">
        <f ca="1">TESORERIA2PERIODO!I20</f>
        <v>0</v>
      </c>
      <c r="L71" s="19">
        <f ca="1">TESORERIA2PERIODO!J20</f>
        <v>0</v>
      </c>
      <c r="M71" s="19">
        <f ca="1">TESORERIA2PERIODO!K20</f>
        <v>0</v>
      </c>
      <c r="N71" s="19">
        <f ca="1">TESORERIA2PERIODO!L20</f>
        <v>0</v>
      </c>
      <c r="O71" s="19">
        <f ca="1">TESORERIA2PERIODO!M20</f>
        <v>0</v>
      </c>
      <c r="P71" s="19">
        <f ca="1">TESORERIA2PERIODO!N20</f>
        <v>0</v>
      </c>
      <c r="Q71" s="19">
        <f ca="1">TESORERIA2PERIODO!O20</f>
        <v>0</v>
      </c>
      <c r="R71" s="19">
        <f ca="1">TESORERIA2PERIODO!P20</f>
        <v>0</v>
      </c>
      <c r="S71" s="19">
        <f ca="1">TESORERIA2PERIODO!Q20</f>
        <v>0</v>
      </c>
      <c r="T71" s="19">
        <f ca="1">TESORERIA2PERIODO!R20</f>
        <v>0</v>
      </c>
      <c r="U71" s="21">
        <f ca="1">TESORERIA2PERIODO!S20</f>
        <v>0</v>
      </c>
    </row>
    <row r="72" spans="1:21" ht="39.75" customHeight="1">
      <c r="A72" s="53"/>
      <c r="B72" s="53"/>
      <c r="C72" s="22" t="s">
        <v>111</v>
      </c>
      <c r="D72" s="16">
        <v>6</v>
      </c>
      <c r="E72" s="17" t="str">
        <f ca="1">TESORERIA1PERIODO!C21</f>
        <v>NUEVAS LICENCIAS</v>
      </c>
      <c r="F72" s="17" t="str">
        <f ca="1">TESORERIA1PERIODO!D21</f>
        <v>ASCENDENTE</v>
      </c>
      <c r="G72" s="17" t="str">
        <f ca="1">TESORERIA1PERIODO!E21</f>
        <v>BITACORA OPERATIVA</v>
      </c>
      <c r="H72" s="18">
        <f ca="1">TESORERIA2PERIODO!F21</f>
        <v>0</v>
      </c>
      <c r="I72" s="19">
        <f ca="1">TESORERIA2PERIODO!G21</f>
        <v>0</v>
      </c>
      <c r="J72" s="19">
        <f ca="1">TESORERIA2PERIODO!H21</f>
        <v>0</v>
      </c>
      <c r="K72" s="19">
        <f ca="1">TESORERIA2PERIODO!I21</f>
        <v>0</v>
      </c>
      <c r="L72" s="19">
        <f ca="1">TESORERIA2PERIODO!J21</f>
        <v>0</v>
      </c>
      <c r="M72" s="19">
        <f ca="1">TESORERIA2PERIODO!K21</f>
        <v>0</v>
      </c>
      <c r="N72" s="19">
        <f ca="1">TESORERIA2PERIODO!L21</f>
        <v>0</v>
      </c>
      <c r="O72" s="19">
        <f ca="1">TESORERIA2PERIODO!M21</f>
        <v>0</v>
      </c>
      <c r="P72" s="19">
        <f ca="1">TESORERIA2PERIODO!N21</f>
        <v>0</v>
      </c>
      <c r="Q72" s="19">
        <f ca="1">TESORERIA2PERIODO!O21</f>
        <v>0</v>
      </c>
      <c r="R72" s="19">
        <f ca="1">TESORERIA2PERIODO!P21</f>
        <v>0</v>
      </c>
      <c r="S72" s="19">
        <f ca="1">TESORERIA2PERIODO!Q21</f>
        <v>0</v>
      </c>
      <c r="T72" s="19">
        <f ca="1">TESORERIA2PERIODO!R21</f>
        <v>0</v>
      </c>
      <c r="U72" s="21">
        <f ca="1">TESORERIA2PERIODO!S21</f>
        <v>0</v>
      </c>
    </row>
    <row r="73" spans="1:21" ht="39.75" customHeight="1">
      <c r="A73" s="53"/>
      <c r="B73" s="53"/>
      <c r="C73" s="22" t="s">
        <v>112</v>
      </c>
      <c r="D73" s="16">
        <v>110</v>
      </c>
      <c r="E73" s="17" t="str">
        <f ca="1">TESORERIA1PERIODO!C22</f>
        <v>REFRENDOS</v>
      </c>
      <c r="F73" s="17" t="str">
        <f ca="1">TESORERIA1PERIODO!D22</f>
        <v>ASCENDENTE</v>
      </c>
      <c r="G73" s="17" t="str">
        <f ca="1">TESORERIA1PERIODO!E22</f>
        <v>BITACORA OPERATIVA</v>
      </c>
      <c r="H73" s="18">
        <f ca="1">TESORERIA2PERIODO!F22</f>
        <v>0</v>
      </c>
      <c r="I73" s="19">
        <f ca="1">TESORERIA2PERIODO!G22</f>
        <v>0</v>
      </c>
      <c r="J73" s="19">
        <f ca="1">TESORERIA2PERIODO!H22</f>
        <v>0</v>
      </c>
      <c r="K73" s="19">
        <f ca="1">TESORERIA2PERIODO!I22</f>
        <v>0</v>
      </c>
      <c r="L73" s="19">
        <f ca="1">TESORERIA2PERIODO!J22</f>
        <v>0</v>
      </c>
      <c r="M73" s="19">
        <f ca="1">TESORERIA2PERIODO!K22</f>
        <v>0</v>
      </c>
      <c r="N73" s="19">
        <f ca="1">TESORERIA2PERIODO!L22</f>
        <v>0</v>
      </c>
      <c r="O73" s="19">
        <f ca="1">TESORERIA2PERIODO!M22</f>
        <v>0</v>
      </c>
      <c r="P73" s="19">
        <f ca="1">TESORERIA2PERIODO!N22</f>
        <v>0</v>
      </c>
      <c r="Q73" s="19">
        <f ca="1">TESORERIA2PERIODO!O22</f>
        <v>0</v>
      </c>
      <c r="R73" s="19">
        <f ca="1">TESORERIA2PERIODO!P22</f>
        <v>0</v>
      </c>
      <c r="S73" s="19">
        <f ca="1">TESORERIA2PERIODO!Q22</f>
        <v>0</v>
      </c>
      <c r="T73" s="19">
        <f ca="1">TESORERIA2PERIODO!R22</f>
        <v>0</v>
      </c>
      <c r="U73" s="21">
        <f ca="1">TESORERIA2PERIODO!S22</f>
        <v>0</v>
      </c>
    </row>
    <row r="74" spans="1:21" ht="39.75" customHeight="1">
      <c r="A74" s="53"/>
      <c r="B74" s="53"/>
      <c r="C74" s="22" t="s">
        <v>113</v>
      </c>
      <c r="D74" s="16">
        <v>20</v>
      </c>
      <c r="E74" s="17" t="str">
        <f ca="1">TESORERIA1PERIODO!C23</f>
        <v>CAMBIOS</v>
      </c>
      <c r="F74" s="17" t="str">
        <f ca="1">TESORERIA1PERIODO!D23</f>
        <v>ASCENDENTE</v>
      </c>
      <c r="G74" s="17" t="str">
        <f ca="1">TESORERIA1PERIODO!E23</f>
        <v>BITACORA OPERATIVA</v>
      </c>
      <c r="H74" s="18">
        <f ca="1">TESORERIA2PERIODO!F23</f>
        <v>0</v>
      </c>
      <c r="I74" s="19">
        <f ca="1">TESORERIA2PERIODO!G23</f>
        <v>0</v>
      </c>
      <c r="J74" s="19">
        <f ca="1">TESORERIA2PERIODO!H23</f>
        <v>0</v>
      </c>
      <c r="K74" s="19">
        <f ca="1">TESORERIA2PERIODO!I23</f>
        <v>0</v>
      </c>
      <c r="L74" s="19">
        <f ca="1">TESORERIA2PERIODO!J23</f>
        <v>0</v>
      </c>
      <c r="M74" s="19">
        <f ca="1">TESORERIA2PERIODO!K23</f>
        <v>0</v>
      </c>
      <c r="N74" s="19">
        <f ca="1">TESORERIA2PERIODO!L23</f>
        <v>0</v>
      </c>
      <c r="O74" s="19">
        <f ca="1">TESORERIA2PERIODO!M23</f>
        <v>0</v>
      </c>
      <c r="P74" s="19">
        <f ca="1">TESORERIA2PERIODO!N23</f>
        <v>0</v>
      </c>
      <c r="Q74" s="19">
        <f ca="1">TESORERIA2PERIODO!O23</f>
        <v>0</v>
      </c>
      <c r="R74" s="19">
        <f ca="1">TESORERIA2PERIODO!P23</f>
        <v>0</v>
      </c>
      <c r="S74" s="19">
        <f ca="1">TESORERIA2PERIODO!Q23</f>
        <v>0</v>
      </c>
      <c r="T74" s="19">
        <f ca="1">TESORERIA2PERIODO!R23</f>
        <v>0</v>
      </c>
      <c r="U74" s="21">
        <f ca="1">TESORERIA2PERIODO!S23</f>
        <v>0</v>
      </c>
    </row>
    <row r="75" spans="1:21" ht="39.75" customHeight="1">
      <c r="A75" s="53"/>
      <c r="B75" s="53"/>
      <c r="C75" s="22" t="s">
        <v>114</v>
      </c>
      <c r="D75" s="16">
        <v>360</v>
      </c>
      <c r="E75" s="17" t="str">
        <f ca="1">TESORERIA1PERIODO!C24</f>
        <v>COMERCIOS AMBULANTES</v>
      </c>
      <c r="F75" s="17" t="str">
        <f ca="1">TESORERIA1PERIODO!D24</f>
        <v>ASCENDENTE</v>
      </c>
      <c r="G75" s="17" t="str">
        <f ca="1">TESORERIA1PERIODO!E24</f>
        <v>BITACORA OPERATIVA</v>
      </c>
      <c r="H75" s="18">
        <f ca="1">TESORERIA2PERIODO!F24</f>
        <v>0</v>
      </c>
      <c r="I75" s="19">
        <f ca="1">TESORERIA2PERIODO!G24</f>
        <v>0</v>
      </c>
      <c r="J75" s="19">
        <f ca="1">TESORERIA2PERIODO!H24</f>
        <v>0</v>
      </c>
      <c r="K75" s="19">
        <f ca="1">TESORERIA2PERIODO!I24</f>
        <v>0</v>
      </c>
      <c r="L75" s="19">
        <f ca="1">TESORERIA2PERIODO!J24</f>
        <v>0</v>
      </c>
      <c r="M75" s="19">
        <f ca="1">TESORERIA2PERIODO!K24</f>
        <v>0</v>
      </c>
      <c r="N75" s="19">
        <f ca="1">TESORERIA2PERIODO!L24</f>
        <v>0</v>
      </c>
      <c r="O75" s="19">
        <f ca="1">TESORERIA2PERIODO!M24</f>
        <v>0</v>
      </c>
      <c r="P75" s="19">
        <f ca="1">TESORERIA2PERIODO!N24</f>
        <v>0</v>
      </c>
      <c r="Q75" s="19">
        <f ca="1">TESORERIA2PERIODO!O24</f>
        <v>0</v>
      </c>
      <c r="R75" s="19">
        <f ca="1">TESORERIA2PERIODO!P24</f>
        <v>0</v>
      </c>
      <c r="S75" s="19">
        <f ca="1">TESORERIA2PERIODO!Q24</f>
        <v>0</v>
      </c>
      <c r="T75" s="19">
        <f ca="1">TESORERIA2PERIODO!R24</f>
        <v>0</v>
      </c>
      <c r="U75" s="21">
        <f ca="1">TESORERIA2PERIODO!S24</f>
        <v>0</v>
      </c>
    </row>
    <row r="76" spans="1:21" ht="39.75" customHeight="1">
      <c r="A76" s="53"/>
      <c r="B76" s="53"/>
      <c r="C76" s="22" t="s">
        <v>115</v>
      </c>
      <c r="D76" s="16">
        <v>8</v>
      </c>
      <c r="E76" s="17" t="str">
        <f ca="1">TESORERIA1PERIODO!C25</f>
        <v>ESPACIOS</v>
      </c>
      <c r="F76" s="17" t="str">
        <f ca="1">TESORERIA1PERIODO!D25</f>
        <v>ASCENDENTE</v>
      </c>
      <c r="G76" s="17" t="str">
        <f ca="1">TESORERIA1PERIODO!E25</f>
        <v>BITACORA OPERATIVA</v>
      </c>
      <c r="H76" s="18">
        <f ca="1">TESORERIA2PERIODO!F25</f>
        <v>0</v>
      </c>
      <c r="I76" s="19">
        <f ca="1">TESORERIA2PERIODO!G25</f>
        <v>0</v>
      </c>
      <c r="J76" s="19">
        <f ca="1">TESORERIA2PERIODO!H25</f>
        <v>0</v>
      </c>
      <c r="K76" s="19">
        <f ca="1">TESORERIA2PERIODO!I25</f>
        <v>0</v>
      </c>
      <c r="L76" s="19">
        <f ca="1">TESORERIA2PERIODO!J25</f>
        <v>0</v>
      </c>
      <c r="M76" s="19">
        <f ca="1">TESORERIA2PERIODO!K25</f>
        <v>0</v>
      </c>
      <c r="N76" s="19">
        <f ca="1">TESORERIA2PERIODO!L25</f>
        <v>0</v>
      </c>
      <c r="O76" s="19">
        <f ca="1">TESORERIA2PERIODO!M25</f>
        <v>0</v>
      </c>
      <c r="P76" s="19">
        <f ca="1">TESORERIA2PERIODO!N25</f>
        <v>0</v>
      </c>
      <c r="Q76" s="19">
        <f ca="1">TESORERIA2PERIODO!O25</f>
        <v>0</v>
      </c>
      <c r="R76" s="19">
        <f ca="1">TESORERIA2PERIODO!P25</f>
        <v>0</v>
      </c>
      <c r="S76" s="19">
        <f ca="1">TESORERIA2PERIODO!Q25</f>
        <v>0</v>
      </c>
      <c r="T76" s="19">
        <f ca="1">TESORERIA2PERIODO!R25</f>
        <v>0</v>
      </c>
      <c r="U76" s="21">
        <f ca="1">TESORERIA2PERIODO!S25</f>
        <v>0</v>
      </c>
    </row>
    <row r="77" spans="1:21" ht="39.75" customHeight="1">
      <c r="A77" s="51"/>
      <c r="B77" s="51"/>
      <c r="C77" s="22" t="s">
        <v>116</v>
      </c>
      <c r="D77" s="16">
        <v>12</v>
      </c>
      <c r="E77" s="17" t="str">
        <f ca="1">TESORERIA1PERIODO!C26</f>
        <v>CAMBIOS</v>
      </c>
      <c r="F77" s="17" t="str">
        <f ca="1">TESORERIA1PERIODO!D26</f>
        <v>ASCENDENTE</v>
      </c>
      <c r="G77" s="17" t="str">
        <f ca="1">TESORERIA1PERIODO!E26</f>
        <v>BITACORA OPERATIVA</v>
      </c>
      <c r="H77" s="18">
        <f ca="1">TESORERIA2PERIODO!F26</f>
        <v>0</v>
      </c>
      <c r="I77" s="19">
        <f ca="1">TESORERIA2PERIODO!G26</f>
        <v>0</v>
      </c>
      <c r="J77" s="19">
        <f ca="1">TESORERIA2PERIODO!H26</f>
        <v>0</v>
      </c>
      <c r="K77" s="19">
        <f ca="1">TESORERIA2PERIODO!I26</f>
        <v>0</v>
      </c>
      <c r="L77" s="19">
        <f ca="1">TESORERIA2PERIODO!J26</f>
        <v>0</v>
      </c>
      <c r="M77" s="19">
        <f ca="1">TESORERIA2PERIODO!K26</f>
        <v>0</v>
      </c>
      <c r="N77" s="19">
        <f ca="1">TESORERIA2PERIODO!L26</f>
        <v>0</v>
      </c>
      <c r="O77" s="19">
        <f ca="1">TESORERIA2PERIODO!M26</f>
        <v>0</v>
      </c>
      <c r="P77" s="19">
        <f ca="1">TESORERIA2PERIODO!N26</f>
        <v>0</v>
      </c>
      <c r="Q77" s="19">
        <f ca="1">TESORERIA2PERIODO!O26</f>
        <v>0</v>
      </c>
      <c r="R77" s="19">
        <f ca="1">TESORERIA2PERIODO!P26</f>
        <v>0</v>
      </c>
      <c r="S77" s="19">
        <f ca="1">TESORERIA2PERIODO!Q26</f>
        <v>0</v>
      </c>
      <c r="T77" s="19">
        <f ca="1">TESORERIA2PERIODO!R26</f>
        <v>0</v>
      </c>
      <c r="U77" s="21">
        <f ca="1">TESORERIA2PERIODO!S26</f>
        <v>0</v>
      </c>
    </row>
    <row r="78" spans="1:21" ht="39.75" customHeight="1">
      <c r="A78" s="52" t="s">
        <v>117</v>
      </c>
      <c r="B78" s="52" t="s">
        <v>118</v>
      </c>
      <c r="C78" s="12" t="s">
        <v>119</v>
      </c>
      <c r="D78" s="16">
        <v>6</v>
      </c>
      <c r="E78" s="16" t="str">
        <f ca="1">'2PERIODOCONTRALORIA'!C2</f>
        <v>AUDITORIAS</v>
      </c>
      <c r="F78" s="16" t="str">
        <f ca="1">'2PERIODOCONTRALORIA'!D2</f>
        <v>ASCENDENTE</v>
      </c>
      <c r="G78" s="16" t="str">
        <f ca="1">'2PERIODOCONTRALORIA'!E2</f>
        <v>BITACORA OPERATIVA</v>
      </c>
      <c r="H78" s="18">
        <f ca="1">'2PERIODOCONTRALORIA'!F2</f>
        <v>0</v>
      </c>
      <c r="I78" s="19">
        <f ca="1">'2PERIODOCONTRALORIA'!G2</f>
        <v>0</v>
      </c>
      <c r="J78" s="19">
        <f ca="1">'2PERIODOCONTRALORIA'!H2</f>
        <v>0</v>
      </c>
      <c r="K78" s="19">
        <f ca="1">'2PERIODOCONTRALORIA'!I2</f>
        <v>0</v>
      </c>
      <c r="L78" s="19">
        <f ca="1">'2PERIODOCONTRALORIA'!J2</f>
        <v>0</v>
      </c>
      <c r="M78" s="19">
        <f ca="1">'2PERIODOCONTRALORIA'!K2</f>
        <v>0</v>
      </c>
      <c r="N78" s="19">
        <f ca="1">'2PERIODOCONTRALORIA'!L2</f>
        <v>0</v>
      </c>
      <c r="O78" s="19">
        <f ca="1">'2PERIODOCONTRALORIA'!M2</f>
        <v>0</v>
      </c>
      <c r="P78" s="19">
        <f ca="1">'2PERIODOCONTRALORIA'!N2</f>
        <v>0</v>
      </c>
      <c r="Q78" s="19">
        <f ca="1">'2PERIODOCONTRALORIA'!O2</f>
        <v>0</v>
      </c>
      <c r="R78" s="19">
        <f ca="1">'2PERIODOCONTRALORIA'!P2</f>
        <v>0</v>
      </c>
      <c r="S78" s="19">
        <f ca="1">'2PERIODOCONTRALORIA'!Q2</f>
        <v>0</v>
      </c>
      <c r="T78" s="19">
        <f ca="1">'2PERIODOCONTRALORIA'!R2</f>
        <v>0</v>
      </c>
      <c r="U78" s="21">
        <f ca="1">'2PERIODOCONTRALORIA'!S2</f>
        <v>0</v>
      </c>
    </row>
    <row r="79" spans="1:21" ht="39.75" customHeight="1">
      <c r="A79" s="53"/>
      <c r="B79" s="53"/>
      <c r="C79" s="12" t="s">
        <v>120</v>
      </c>
      <c r="D79" s="16">
        <v>11</v>
      </c>
      <c r="E79" s="16" t="str">
        <f ca="1">'2PERIODOCONTRALORIA'!C3</f>
        <v>AUDITORIAS</v>
      </c>
      <c r="F79" s="16" t="str">
        <f ca="1">'2PERIODOCONTRALORIA'!D3</f>
        <v>ASCENDENTE</v>
      </c>
      <c r="G79" s="16" t="str">
        <f ca="1">'2PERIODOCONTRALORIA'!E3</f>
        <v>BITACORA OPERATIVA</v>
      </c>
      <c r="H79" s="18">
        <f ca="1">'2PERIODOCONTRALORIA'!F3</f>
        <v>0</v>
      </c>
      <c r="I79" s="19">
        <f ca="1">'2PERIODOCONTRALORIA'!G3</f>
        <v>0</v>
      </c>
      <c r="J79" s="19">
        <f ca="1">'2PERIODOCONTRALORIA'!H3</f>
        <v>0</v>
      </c>
      <c r="K79" s="19">
        <f ca="1">'2PERIODOCONTRALORIA'!I3</f>
        <v>0</v>
      </c>
      <c r="L79" s="19">
        <f ca="1">'2PERIODOCONTRALORIA'!J3</f>
        <v>0</v>
      </c>
      <c r="M79" s="19">
        <f ca="1">'2PERIODOCONTRALORIA'!K3</f>
        <v>0</v>
      </c>
      <c r="N79" s="19">
        <f ca="1">'2PERIODOCONTRALORIA'!L3</f>
        <v>0</v>
      </c>
      <c r="O79" s="19">
        <f ca="1">'2PERIODOCONTRALORIA'!M3</f>
        <v>0</v>
      </c>
      <c r="P79" s="19">
        <f ca="1">'2PERIODOCONTRALORIA'!N3</f>
        <v>0</v>
      </c>
      <c r="Q79" s="19">
        <f ca="1">'2PERIODOCONTRALORIA'!O3</f>
        <v>0</v>
      </c>
      <c r="R79" s="19">
        <f ca="1">'2PERIODOCONTRALORIA'!P3</f>
        <v>0</v>
      </c>
      <c r="S79" s="19">
        <f ca="1">'2PERIODOCONTRALORIA'!Q3</f>
        <v>0</v>
      </c>
      <c r="T79" s="19">
        <f ca="1">'2PERIODOCONTRALORIA'!R3</f>
        <v>0</v>
      </c>
      <c r="U79" s="21">
        <f ca="1">'2PERIODOCONTRALORIA'!S3</f>
        <v>0</v>
      </c>
    </row>
    <row r="80" spans="1:21" ht="39.75" customHeight="1">
      <c r="A80" s="53"/>
      <c r="B80" s="53"/>
      <c r="C80" s="12" t="s">
        <v>121</v>
      </c>
      <c r="D80" s="16">
        <v>4</v>
      </c>
      <c r="E80" s="16" t="str">
        <f ca="1">'2PERIODOCONTRALORIA'!C4</f>
        <v xml:space="preserve">ACTAS </v>
      </c>
      <c r="F80" s="16" t="str">
        <f ca="1">'2PERIODOCONTRALORIA'!D4</f>
        <v>ASCENDENTE</v>
      </c>
      <c r="G80" s="16" t="str">
        <f ca="1">'2PERIODOCONTRALORIA'!E4</f>
        <v>BITACORA OPERATIVA</v>
      </c>
      <c r="H80" s="18">
        <f ca="1">'2PERIODOCONTRALORIA'!F4</f>
        <v>0</v>
      </c>
      <c r="I80" s="19">
        <f ca="1">'2PERIODOCONTRALORIA'!G4</f>
        <v>0</v>
      </c>
      <c r="J80" s="19">
        <f ca="1">'2PERIODOCONTRALORIA'!H4</f>
        <v>0</v>
      </c>
      <c r="K80" s="19">
        <f ca="1">'2PERIODOCONTRALORIA'!I4</f>
        <v>0</v>
      </c>
      <c r="L80" s="19">
        <f ca="1">'2PERIODOCONTRALORIA'!J4</f>
        <v>0</v>
      </c>
      <c r="M80" s="19">
        <f ca="1">'2PERIODOCONTRALORIA'!K4</f>
        <v>0</v>
      </c>
      <c r="N80" s="19">
        <f ca="1">'2PERIODOCONTRALORIA'!L4</f>
        <v>0</v>
      </c>
      <c r="O80" s="19">
        <f ca="1">'2PERIODOCONTRALORIA'!M4</f>
        <v>0</v>
      </c>
      <c r="P80" s="19">
        <f ca="1">'2PERIODOCONTRALORIA'!N4</f>
        <v>0</v>
      </c>
      <c r="Q80" s="19">
        <f ca="1">'2PERIODOCONTRALORIA'!O4</f>
        <v>0</v>
      </c>
      <c r="R80" s="19">
        <f ca="1">'2PERIODOCONTRALORIA'!P4</f>
        <v>0</v>
      </c>
      <c r="S80" s="19">
        <f ca="1">'2PERIODOCONTRALORIA'!Q4</f>
        <v>0</v>
      </c>
      <c r="T80" s="19">
        <f ca="1">'2PERIODOCONTRALORIA'!R4</f>
        <v>0</v>
      </c>
      <c r="U80" s="21">
        <f ca="1">'2PERIODOCONTRALORIA'!S4</f>
        <v>0</v>
      </c>
    </row>
    <row r="81" spans="1:21" ht="39.75" customHeight="1">
      <c r="A81" s="53"/>
      <c r="B81" s="53"/>
      <c r="C81" s="12" t="s">
        <v>122</v>
      </c>
      <c r="D81" s="16">
        <v>5</v>
      </c>
      <c r="E81" s="16" t="str">
        <f ca="1">'2PERIODOCONTRALORIA'!C5</f>
        <v>UNIDADES</v>
      </c>
      <c r="F81" s="16" t="str">
        <f ca="1">'2PERIODOCONTRALORIA'!D5</f>
        <v>ASCENDENTE</v>
      </c>
      <c r="G81" s="16" t="str">
        <f ca="1">'2PERIODOCONTRALORIA'!E5</f>
        <v>BITACORA OPERATIVA</v>
      </c>
      <c r="H81" s="18">
        <f ca="1">'2PERIODOCONTRALORIA'!F5</f>
        <v>0</v>
      </c>
      <c r="I81" s="19">
        <f ca="1">'2PERIODOCONTRALORIA'!G5</f>
        <v>0</v>
      </c>
      <c r="J81" s="19">
        <f ca="1">'2PERIODOCONTRALORIA'!H5</f>
        <v>0</v>
      </c>
      <c r="K81" s="19">
        <f ca="1">'2PERIODOCONTRALORIA'!I5</f>
        <v>0</v>
      </c>
      <c r="L81" s="19">
        <f ca="1">'2PERIODOCONTRALORIA'!J5</f>
        <v>0</v>
      </c>
      <c r="M81" s="19">
        <f ca="1">'2PERIODOCONTRALORIA'!K5</f>
        <v>0</v>
      </c>
      <c r="N81" s="19">
        <f ca="1">'2PERIODOCONTRALORIA'!L5</f>
        <v>0</v>
      </c>
      <c r="O81" s="19">
        <f ca="1">'2PERIODOCONTRALORIA'!M5</f>
        <v>0</v>
      </c>
      <c r="P81" s="19">
        <f ca="1">'2PERIODOCONTRALORIA'!N5</f>
        <v>0</v>
      </c>
      <c r="Q81" s="19">
        <f ca="1">'2PERIODOCONTRALORIA'!O5</f>
        <v>0</v>
      </c>
      <c r="R81" s="19">
        <f ca="1">'2PERIODOCONTRALORIA'!P5</f>
        <v>0</v>
      </c>
      <c r="S81" s="19">
        <f ca="1">'2PERIODOCONTRALORIA'!Q5</f>
        <v>0</v>
      </c>
      <c r="T81" s="19">
        <f ca="1">'2PERIODOCONTRALORIA'!R5</f>
        <v>0</v>
      </c>
      <c r="U81" s="21">
        <f ca="1">'2PERIODOCONTRALORIA'!S5</f>
        <v>0</v>
      </c>
    </row>
    <row r="82" spans="1:21" ht="39.75" customHeight="1">
      <c r="A82" s="53"/>
      <c r="B82" s="53"/>
      <c r="C82" s="12" t="s">
        <v>123</v>
      </c>
      <c r="D82" s="16">
        <v>7</v>
      </c>
      <c r="E82" s="16" t="str">
        <f ca="1">'2PERIODOCONTRALORIA'!C6</f>
        <v>CEDULAS</v>
      </c>
      <c r="F82" s="16" t="str">
        <f ca="1">'2PERIODOCONTRALORIA'!D6</f>
        <v>ASCENDENTE</v>
      </c>
      <c r="G82" s="16" t="str">
        <f ca="1">'2PERIODOCONTRALORIA'!E6</f>
        <v>BITACORA OPERATIVA</v>
      </c>
      <c r="H82" s="18">
        <f ca="1">'2PERIODOCONTRALORIA'!F6</f>
        <v>0</v>
      </c>
      <c r="I82" s="19">
        <f ca="1">'2PERIODOCONTRALORIA'!G6</f>
        <v>0</v>
      </c>
      <c r="J82" s="19">
        <f ca="1">'2PERIODOCONTRALORIA'!H6</f>
        <v>0</v>
      </c>
      <c r="K82" s="19">
        <f ca="1">'2PERIODOCONTRALORIA'!I6</f>
        <v>0</v>
      </c>
      <c r="L82" s="19">
        <f ca="1">'2PERIODOCONTRALORIA'!J6</f>
        <v>0</v>
      </c>
      <c r="M82" s="19">
        <f ca="1">'2PERIODOCONTRALORIA'!K6</f>
        <v>0</v>
      </c>
      <c r="N82" s="19">
        <f ca="1">'2PERIODOCONTRALORIA'!L6</f>
        <v>0</v>
      </c>
      <c r="O82" s="19">
        <f ca="1">'2PERIODOCONTRALORIA'!M6</f>
        <v>0</v>
      </c>
      <c r="P82" s="19">
        <f ca="1">'2PERIODOCONTRALORIA'!N6</f>
        <v>0</v>
      </c>
      <c r="Q82" s="19">
        <f ca="1">'2PERIODOCONTRALORIA'!O6</f>
        <v>0</v>
      </c>
      <c r="R82" s="19">
        <f ca="1">'2PERIODOCONTRALORIA'!P6</f>
        <v>0</v>
      </c>
      <c r="S82" s="19">
        <f ca="1">'2PERIODOCONTRALORIA'!Q6</f>
        <v>0</v>
      </c>
      <c r="T82" s="19">
        <f ca="1">'2PERIODOCONTRALORIA'!R6</f>
        <v>0</v>
      </c>
      <c r="U82" s="21">
        <f ca="1">'2PERIODOCONTRALORIA'!S6</f>
        <v>0</v>
      </c>
    </row>
    <row r="83" spans="1:21" ht="39.75" customHeight="1">
      <c r="A83" s="53"/>
      <c r="B83" s="53"/>
      <c r="C83" s="12" t="s">
        <v>124</v>
      </c>
      <c r="D83" s="16">
        <v>296</v>
      </c>
      <c r="E83" s="16" t="str">
        <f ca="1">'2PERIODOCONTRALORIA'!C7</f>
        <v>DOCUMENTOS EVALUADOS</v>
      </c>
      <c r="F83" s="16" t="str">
        <f ca="1">'2PERIODOCONTRALORIA'!D7</f>
        <v>ASCENDENTE</v>
      </c>
      <c r="G83" s="16" t="str">
        <f ca="1">'2PERIODOCONTRALORIA'!E7</f>
        <v>BITACORA OPERATIVA</v>
      </c>
      <c r="H83" s="18">
        <f ca="1">'2PERIODOCONTRALORIA'!F7</f>
        <v>0</v>
      </c>
      <c r="I83" s="19">
        <f ca="1">'2PERIODOCONTRALORIA'!G7</f>
        <v>0</v>
      </c>
      <c r="J83" s="19">
        <f ca="1">'2PERIODOCONTRALORIA'!H7</f>
        <v>0</v>
      </c>
      <c r="K83" s="19">
        <f ca="1">'2PERIODOCONTRALORIA'!I7</f>
        <v>0</v>
      </c>
      <c r="L83" s="19">
        <f ca="1">'2PERIODOCONTRALORIA'!J7</f>
        <v>0</v>
      </c>
      <c r="M83" s="19">
        <f ca="1">'2PERIODOCONTRALORIA'!K7</f>
        <v>0</v>
      </c>
      <c r="N83" s="19">
        <f ca="1">'2PERIODOCONTRALORIA'!L7</f>
        <v>0</v>
      </c>
      <c r="O83" s="19">
        <f ca="1">'2PERIODOCONTRALORIA'!M7</f>
        <v>0</v>
      </c>
      <c r="P83" s="19">
        <f ca="1">'2PERIODOCONTRALORIA'!N7</f>
        <v>0</v>
      </c>
      <c r="Q83" s="19">
        <f ca="1">'2PERIODOCONTRALORIA'!O7</f>
        <v>0</v>
      </c>
      <c r="R83" s="19">
        <f ca="1">'2PERIODOCONTRALORIA'!P7</f>
        <v>0</v>
      </c>
      <c r="S83" s="19">
        <f ca="1">'2PERIODOCONTRALORIA'!Q7</f>
        <v>0</v>
      </c>
      <c r="T83" s="19">
        <f ca="1">'2PERIODOCONTRALORIA'!R7</f>
        <v>0</v>
      </c>
      <c r="U83" s="21">
        <f ca="1">'2PERIODOCONTRALORIA'!S7</f>
        <v>0</v>
      </c>
    </row>
    <row r="84" spans="1:21" ht="39.75" customHeight="1">
      <c r="A84" s="53"/>
      <c r="B84" s="53"/>
      <c r="C84" s="12" t="s">
        <v>125</v>
      </c>
      <c r="D84" s="16">
        <v>33</v>
      </c>
      <c r="E84" s="16" t="str">
        <f ca="1">'2PERIODOCONTRALORIA'!C8</f>
        <v>OBSERVACIONES</v>
      </c>
      <c r="F84" s="16" t="str">
        <f ca="1">'2PERIODOCONTRALORIA'!D8</f>
        <v>ASCENDENTE</v>
      </c>
      <c r="G84" s="16" t="str">
        <f ca="1">'2PERIODOCONTRALORIA'!E8</f>
        <v>BITACORA OPERATIVA</v>
      </c>
      <c r="H84" s="18">
        <f ca="1">'2PERIODOCONTRALORIA'!F8</f>
        <v>0</v>
      </c>
      <c r="I84" s="19">
        <f ca="1">'2PERIODOCONTRALORIA'!G8</f>
        <v>0</v>
      </c>
      <c r="J84" s="19">
        <f ca="1">'2PERIODOCONTRALORIA'!H8</f>
        <v>0</v>
      </c>
      <c r="K84" s="19">
        <f ca="1">'2PERIODOCONTRALORIA'!I8</f>
        <v>0</v>
      </c>
      <c r="L84" s="19">
        <f ca="1">'2PERIODOCONTRALORIA'!J8</f>
        <v>0</v>
      </c>
      <c r="M84" s="19">
        <f ca="1">'2PERIODOCONTRALORIA'!K8</f>
        <v>0</v>
      </c>
      <c r="N84" s="19">
        <f ca="1">'2PERIODOCONTRALORIA'!L8</f>
        <v>0</v>
      </c>
      <c r="O84" s="19">
        <f ca="1">'2PERIODOCONTRALORIA'!M8</f>
        <v>0</v>
      </c>
      <c r="P84" s="19">
        <f ca="1">'2PERIODOCONTRALORIA'!N8</f>
        <v>0</v>
      </c>
      <c r="Q84" s="19">
        <f ca="1">'2PERIODOCONTRALORIA'!O8</f>
        <v>0</v>
      </c>
      <c r="R84" s="19">
        <f ca="1">'2PERIODOCONTRALORIA'!P8</f>
        <v>0</v>
      </c>
      <c r="S84" s="19">
        <f ca="1">'2PERIODOCONTRALORIA'!Q8</f>
        <v>0</v>
      </c>
      <c r="T84" s="19">
        <f ca="1">'2PERIODOCONTRALORIA'!R8</f>
        <v>0</v>
      </c>
      <c r="U84" s="21">
        <f ca="1">'2PERIODOCONTRALORIA'!S8</f>
        <v>0</v>
      </c>
    </row>
    <row r="85" spans="1:21" ht="39.75" customHeight="1">
      <c r="A85" s="53"/>
      <c r="B85" s="51"/>
      <c r="C85" s="12" t="s">
        <v>126</v>
      </c>
      <c r="D85" s="16">
        <v>3</v>
      </c>
      <c r="E85" s="16" t="str">
        <f ca="1">'2PERIODOCONTRALORIA'!C9</f>
        <v>AUDITORIAS FINALIZADAS</v>
      </c>
      <c r="F85" s="16" t="str">
        <f ca="1">'2PERIODOCONTRALORIA'!D9</f>
        <v>ASCENDENTE</v>
      </c>
      <c r="G85" s="16" t="str">
        <f ca="1">'2PERIODOCONTRALORIA'!E9</f>
        <v>BITACORA OPERATIVA</v>
      </c>
      <c r="H85" s="18">
        <f ca="1">'2PERIODOCONTRALORIA'!F9</f>
        <v>0</v>
      </c>
      <c r="I85" s="19">
        <f ca="1">'2PERIODOCONTRALORIA'!G9</f>
        <v>0</v>
      </c>
      <c r="J85" s="19">
        <f ca="1">'2PERIODOCONTRALORIA'!H9</f>
        <v>0</v>
      </c>
      <c r="K85" s="19">
        <f ca="1">'2PERIODOCONTRALORIA'!I9</f>
        <v>0</v>
      </c>
      <c r="L85" s="19">
        <f ca="1">'2PERIODOCONTRALORIA'!J9</f>
        <v>0</v>
      </c>
      <c r="M85" s="19">
        <f ca="1">'2PERIODOCONTRALORIA'!K9</f>
        <v>0</v>
      </c>
      <c r="N85" s="19">
        <f ca="1">'2PERIODOCONTRALORIA'!L9</f>
        <v>0</v>
      </c>
      <c r="O85" s="19">
        <f ca="1">'2PERIODOCONTRALORIA'!M9</f>
        <v>0</v>
      </c>
      <c r="P85" s="19">
        <f ca="1">'2PERIODOCONTRALORIA'!N9</f>
        <v>0</v>
      </c>
      <c r="Q85" s="19">
        <f ca="1">'2PERIODOCONTRALORIA'!O9</f>
        <v>0</v>
      </c>
      <c r="R85" s="19">
        <f ca="1">'2PERIODOCONTRALORIA'!P9</f>
        <v>0</v>
      </c>
      <c r="S85" s="19">
        <f ca="1">'2PERIODOCONTRALORIA'!Q9</f>
        <v>0</v>
      </c>
      <c r="T85" s="19">
        <f ca="1">'2PERIODOCONTRALORIA'!R9</f>
        <v>0</v>
      </c>
      <c r="U85" s="21">
        <f ca="1">'2PERIODOCONTRALORIA'!S9</f>
        <v>0</v>
      </c>
    </row>
    <row r="86" spans="1:21" ht="39.75" customHeight="1">
      <c r="A86" s="53"/>
      <c r="B86" s="52" t="s">
        <v>127</v>
      </c>
      <c r="C86" s="12" t="s">
        <v>128</v>
      </c>
      <c r="D86" s="16">
        <v>1</v>
      </c>
      <c r="E86" s="16" t="str">
        <f ca="1">'2PERIODOCONTRALORIA'!C10</f>
        <v>AUDITORIAS</v>
      </c>
      <c r="F86" s="16" t="str">
        <f ca="1">'2PERIODOCONTRALORIA'!D10</f>
        <v>ASCENDENTE</v>
      </c>
      <c r="G86" s="16" t="str">
        <f ca="1">'2PERIODOCONTRALORIA'!E10</f>
        <v>BITACORA OPERATIVA</v>
      </c>
      <c r="H86" s="18">
        <f ca="1">'2PERIODOCONTRALORIA'!F10</f>
        <v>0</v>
      </c>
      <c r="I86" s="19">
        <f ca="1">'2PERIODOCONTRALORIA'!G10</f>
        <v>0</v>
      </c>
      <c r="J86" s="19">
        <f ca="1">'2PERIODOCONTRALORIA'!H10</f>
        <v>0</v>
      </c>
      <c r="K86" s="19">
        <f ca="1">'2PERIODOCONTRALORIA'!I10</f>
        <v>0</v>
      </c>
      <c r="L86" s="19">
        <f ca="1">'2PERIODOCONTRALORIA'!J10</f>
        <v>0</v>
      </c>
      <c r="M86" s="19">
        <f ca="1">'2PERIODOCONTRALORIA'!K10</f>
        <v>0</v>
      </c>
      <c r="N86" s="19">
        <f ca="1">'2PERIODOCONTRALORIA'!L10</f>
        <v>0</v>
      </c>
      <c r="O86" s="19">
        <f ca="1">'2PERIODOCONTRALORIA'!M10</f>
        <v>0</v>
      </c>
      <c r="P86" s="19">
        <f ca="1">'2PERIODOCONTRALORIA'!N10</f>
        <v>0</v>
      </c>
      <c r="Q86" s="19">
        <f ca="1">'2PERIODOCONTRALORIA'!O10</f>
        <v>0</v>
      </c>
      <c r="R86" s="19">
        <f ca="1">'2PERIODOCONTRALORIA'!P10</f>
        <v>0</v>
      </c>
      <c r="S86" s="19">
        <f ca="1">'2PERIODOCONTRALORIA'!Q10</f>
        <v>0</v>
      </c>
      <c r="T86" s="19">
        <f ca="1">'2PERIODOCONTRALORIA'!R10</f>
        <v>0</v>
      </c>
      <c r="U86" s="21">
        <f ca="1">'2PERIODOCONTRALORIA'!S10</f>
        <v>0</v>
      </c>
    </row>
    <row r="87" spans="1:21" ht="39.75" customHeight="1">
      <c r="A87" s="53"/>
      <c r="B87" s="53"/>
      <c r="C87" s="12" t="s">
        <v>129</v>
      </c>
      <c r="D87" s="16">
        <v>1</v>
      </c>
      <c r="E87" s="16" t="str">
        <f ca="1">'2PERIODOCONTRALORIA'!C11</f>
        <v>AUDITORIAS</v>
      </c>
      <c r="F87" s="16" t="str">
        <f ca="1">'2PERIODOCONTRALORIA'!D11</f>
        <v>ASCENDENTE</v>
      </c>
      <c r="G87" s="16" t="str">
        <f ca="1">'2PERIODOCONTRALORIA'!E11</f>
        <v>BITACORA OPERATIVA</v>
      </c>
      <c r="H87" s="18">
        <f ca="1">'2PERIODOCONTRALORIA'!F11</f>
        <v>0</v>
      </c>
      <c r="I87" s="19">
        <f ca="1">'2PERIODOCONTRALORIA'!G11</f>
        <v>0</v>
      </c>
      <c r="J87" s="19">
        <f ca="1">'2PERIODOCONTRALORIA'!H11</f>
        <v>0</v>
      </c>
      <c r="K87" s="19">
        <f ca="1">'2PERIODOCONTRALORIA'!I11</f>
        <v>0</v>
      </c>
      <c r="L87" s="19">
        <f ca="1">'2PERIODOCONTRALORIA'!J11</f>
        <v>0</v>
      </c>
      <c r="M87" s="19">
        <f ca="1">'2PERIODOCONTRALORIA'!K11</f>
        <v>0</v>
      </c>
      <c r="N87" s="19">
        <f ca="1">'2PERIODOCONTRALORIA'!L11</f>
        <v>0</v>
      </c>
      <c r="O87" s="19">
        <f ca="1">'2PERIODOCONTRALORIA'!M11</f>
        <v>0</v>
      </c>
      <c r="P87" s="19">
        <f ca="1">'2PERIODOCONTRALORIA'!N11</f>
        <v>0</v>
      </c>
      <c r="Q87" s="19">
        <f ca="1">'2PERIODOCONTRALORIA'!O11</f>
        <v>0</v>
      </c>
      <c r="R87" s="19">
        <f ca="1">'2PERIODOCONTRALORIA'!P11</f>
        <v>0</v>
      </c>
      <c r="S87" s="19">
        <f ca="1">'2PERIODOCONTRALORIA'!Q11</f>
        <v>0</v>
      </c>
      <c r="T87" s="19">
        <f ca="1">'2PERIODOCONTRALORIA'!R11</f>
        <v>0</v>
      </c>
      <c r="U87" s="21">
        <f ca="1">'2PERIODOCONTRALORIA'!S11</f>
        <v>0</v>
      </c>
    </row>
    <row r="88" spans="1:21" ht="39.75" customHeight="1">
      <c r="A88" s="53"/>
      <c r="B88" s="53"/>
      <c r="C88" s="12" t="s">
        <v>130</v>
      </c>
      <c r="D88" s="16">
        <v>1</v>
      </c>
      <c r="E88" s="16" t="str">
        <f ca="1">'2PERIODOCONTRALORIA'!C12</f>
        <v>AUDITORIAS</v>
      </c>
      <c r="F88" s="16" t="str">
        <f ca="1">'2PERIODOCONTRALORIA'!D12</f>
        <v>ASCENDENTE</v>
      </c>
      <c r="G88" s="16" t="str">
        <f ca="1">'2PERIODOCONTRALORIA'!E12</f>
        <v>BITACORA OPERATIVA</v>
      </c>
      <c r="H88" s="18">
        <f ca="1">'2PERIODOCONTRALORIA'!F12</f>
        <v>0</v>
      </c>
      <c r="I88" s="19">
        <f ca="1">'2PERIODOCONTRALORIA'!G12</f>
        <v>0</v>
      </c>
      <c r="J88" s="19">
        <f ca="1">'2PERIODOCONTRALORIA'!H12</f>
        <v>0</v>
      </c>
      <c r="K88" s="19">
        <f ca="1">'2PERIODOCONTRALORIA'!I12</f>
        <v>0</v>
      </c>
      <c r="L88" s="19">
        <f ca="1">'2PERIODOCONTRALORIA'!J12</f>
        <v>0</v>
      </c>
      <c r="M88" s="19">
        <f ca="1">'2PERIODOCONTRALORIA'!K12</f>
        <v>0</v>
      </c>
      <c r="N88" s="19">
        <f ca="1">'2PERIODOCONTRALORIA'!L12</f>
        <v>0</v>
      </c>
      <c r="O88" s="19">
        <f ca="1">'2PERIODOCONTRALORIA'!M12</f>
        <v>0</v>
      </c>
      <c r="P88" s="19">
        <f ca="1">'2PERIODOCONTRALORIA'!N12</f>
        <v>0</v>
      </c>
      <c r="Q88" s="19">
        <f ca="1">'2PERIODOCONTRALORIA'!O12</f>
        <v>0</v>
      </c>
      <c r="R88" s="19">
        <f ca="1">'2PERIODOCONTRALORIA'!P12</f>
        <v>0</v>
      </c>
      <c r="S88" s="19">
        <f ca="1">'2PERIODOCONTRALORIA'!Q12</f>
        <v>0</v>
      </c>
      <c r="T88" s="19">
        <f ca="1">'2PERIODOCONTRALORIA'!R12</f>
        <v>0</v>
      </c>
      <c r="U88" s="21">
        <f ca="1">'2PERIODOCONTRALORIA'!S12</f>
        <v>0</v>
      </c>
    </row>
    <row r="89" spans="1:21" ht="39.75" customHeight="1">
      <c r="A89" s="53"/>
      <c r="B89" s="53"/>
      <c r="C89" s="12" t="s">
        <v>131</v>
      </c>
      <c r="D89" s="16">
        <v>1</v>
      </c>
      <c r="E89" s="16" t="str">
        <f ca="1">'2PERIODOCONTRALORIA'!C13</f>
        <v>AUDITORIAS</v>
      </c>
      <c r="F89" s="16" t="str">
        <f ca="1">'2PERIODOCONTRALORIA'!D13</f>
        <v>ASCENDENTE</v>
      </c>
      <c r="G89" s="16" t="str">
        <f ca="1">'2PERIODOCONTRALORIA'!E13</f>
        <v>BITACORA OPERATIVA</v>
      </c>
      <c r="H89" s="18">
        <f ca="1">'2PERIODOCONTRALORIA'!F13</f>
        <v>0</v>
      </c>
      <c r="I89" s="19">
        <f ca="1">'2PERIODOCONTRALORIA'!G13</f>
        <v>0</v>
      </c>
      <c r="J89" s="19">
        <f ca="1">'2PERIODOCONTRALORIA'!H13</f>
        <v>0</v>
      </c>
      <c r="K89" s="19">
        <f ca="1">'2PERIODOCONTRALORIA'!I13</f>
        <v>0</v>
      </c>
      <c r="L89" s="19">
        <f ca="1">'2PERIODOCONTRALORIA'!J13</f>
        <v>0</v>
      </c>
      <c r="M89" s="19">
        <f ca="1">'2PERIODOCONTRALORIA'!K13</f>
        <v>0</v>
      </c>
      <c r="N89" s="19">
        <f ca="1">'2PERIODOCONTRALORIA'!L13</f>
        <v>0</v>
      </c>
      <c r="O89" s="19">
        <f ca="1">'2PERIODOCONTRALORIA'!M13</f>
        <v>0</v>
      </c>
      <c r="P89" s="19">
        <f ca="1">'2PERIODOCONTRALORIA'!N13</f>
        <v>0</v>
      </c>
      <c r="Q89" s="19">
        <f ca="1">'2PERIODOCONTRALORIA'!O13</f>
        <v>0</v>
      </c>
      <c r="R89" s="19">
        <f ca="1">'2PERIODOCONTRALORIA'!P13</f>
        <v>0</v>
      </c>
      <c r="S89" s="19">
        <f ca="1">'2PERIODOCONTRALORIA'!Q13</f>
        <v>0</v>
      </c>
      <c r="T89" s="19">
        <f ca="1">'2PERIODOCONTRALORIA'!R13</f>
        <v>0</v>
      </c>
      <c r="U89" s="21">
        <f ca="1">'2PERIODOCONTRALORIA'!S13</f>
        <v>0</v>
      </c>
    </row>
    <row r="90" spans="1:21" ht="39.75" customHeight="1">
      <c r="A90" s="53"/>
      <c r="B90" s="51"/>
      <c r="C90" s="12" t="s">
        <v>132</v>
      </c>
      <c r="D90" s="16">
        <v>1</v>
      </c>
      <c r="E90" s="16" t="str">
        <f ca="1">'2PERIODOCONTRALORIA'!C14</f>
        <v>AUDITORIAS</v>
      </c>
      <c r="F90" s="16" t="str">
        <f ca="1">'2PERIODOCONTRALORIA'!D14</f>
        <v>ASCENDENTE</v>
      </c>
      <c r="G90" s="16" t="str">
        <f ca="1">'2PERIODOCONTRALORIA'!E14</f>
        <v>BITACORA OPERATIVA</v>
      </c>
      <c r="H90" s="18">
        <f ca="1">'2PERIODOCONTRALORIA'!F14</f>
        <v>0</v>
      </c>
      <c r="I90" s="19">
        <f ca="1">'2PERIODOCONTRALORIA'!G14</f>
        <v>0</v>
      </c>
      <c r="J90" s="19">
        <f ca="1">'2PERIODOCONTRALORIA'!H14</f>
        <v>0</v>
      </c>
      <c r="K90" s="19">
        <f ca="1">'2PERIODOCONTRALORIA'!I14</f>
        <v>0</v>
      </c>
      <c r="L90" s="19">
        <f ca="1">'2PERIODOCONTRALORIA'!J14</f>
        <v>0</v>
      </c>
      <c r="M90" s="19">
        <f ca="1">'2PERIODOCONTRALORIA'!K14</f>
        <v>0</v>
      </c>
      <c r="N90" s="19">
        <f ca="1">'2PERIODOCONTRALORIA'!L14</f>
        <v>0</v>
      </c>
      <c r="O90" s="19">
        <f ca="1">'2PERIODOCONTRALORIA'!M14</f>
        <v>0</v>
      </c>
      <c r="P90" s="19">
        <f ca="1">'2PERIODOCONTRALORIA'!N14</f>
        <v>0</v>
      </c>
      <c r="Q90" s="19">
        <f ca="1">'2PERIODOCONTRALORIA'!O14</f>
        <v>0</v>
      </c>
      <c r="R90" s="19">
        <f ca="1">'2PERIODOCONTRALORIA'!P14</f>
        <v>0</v>
      </c>
      <c r="S90" s="19">
        <f ca="1">'2PERIODOCONTRALORIA'!Q14</f>
        <v>0</v>
      </c>
      <c r="T90" s="19">
        <f ca="1">'2PERIODOCONTRALORIA'!R14</f>
        <v>0</v>
      </c>
      <c r="U90" s="21">
        <f ca="1">'2PERIODOCONTRALORIA'!S14</f>
        <v>0</v>
      </c>
    </row>
    <row r="91" spans="1:21" ht="39.75" customHeight="1">
      <c r="A91" s="53"/>
      <c r="B91" s="52" t="s">
        <v>133</v>
      </c>
      <c r="C91" s="12" t="s">
        <v>134</v>
      </c>
      <c r="D91" s="16">
        <v>493</v>
      </c>
      <c r="E91" s="16" t="str">
        <f ca="1">'2PERIODOCONTRALORIA'!C15</f>
        <v xml:space="preserve">DECLARACIONES </v>
      </c>
      <c r="F91" s="16" t="str">
        <f ca="1">'2PERIODOCONTRALORIA'!D15</f>
        <v>ASCENDENTE</v>
      </c>
      <c r="G91" s="16" t="str">
        <f ca="1">'2PERIODOCONTRALORIA'!E15</f>
        <v>BITACORA OPERATIVA</v>
      </c>
      <c r="H91" s="18">
        <f ca="1">'2PERIODOCONTRALORIA'!F15</f>
        <v>0</v>
      </c>
      <c r="I91" s="19">
        <f ca="1">'2PERIODOCONTRALORIA'!G15</f>
        <v>0</v>
      </c>
      <c r="J91" s="19">
        <f ca="1">'2PERIODOCONTRALORIA'!H15</f>
        <v>0</v>
      </c>
      <c r="K91" s="19">
        <f ca="1">'2PERIODOCONTRALORIA'!I15</f>
        <v>0</v>
      </c>
      <c r="L91" s="19">
        <f ca="1">'2PERIODOCONTRALORIA'!J15</f>
        <v>0</v>
      </c>
      <c r="M91" s="19">
        <f ca="1">'2PERIODOCONTRALORIA'!K15</f>
        <v>0</v>
      </c>
      <c r="N91" s="19">
        <f ca="1">'2PERIODOCONTRALORIA'!L15</f>
        <v>0</v>
      </c>
      <c r="O91" s="19">
        <f ca="1">'2PERIODOCONTRALORIA'!M15</f>
        <v>0</v>
      </c>
      <c r="P91" s="19">
        <f ca="1">'2PERIODOCONTRALORIA'!N15</f>
        <v>0</v>
      </c>
      <c r="Q91" s="19">
        <f ca="1">'2PERIODOCONTRALORIA'!O15</f>
        <v>0</v>
      </c>
      <c r="R91" s="19">
        <f ca="1">'2PERIODOCONTRALORIA'!P15</f>
        <v>0</v>
      </c>
      <c r="S91" s="19">
        <f ca="1">'2PERIODOCONTRALORIA'!Q15</f>
        <v>0</v>
      </c>
      <c r="T91" s="19">
        <f ca="1">'2PERIODOCONTRALORIA'!R15</f>
        <v>0</v>
      </c>
      <c r="U91" s="21">
        <f ca="1">'2PERIODOCONTRALORIA'!S15</f>
        <v>0</v>
      </c>
    </row>
    <row r="92" spans="1:21" ht="39.75" customHeight="1">
      <c r="A92" s="53"/>
      <c r="B92" s="53"/>
      <c r="C92" s="12" t="s">
        <v>135</v>
      </c>
      <c r="D92" s="16">
        <v>238</v>
      </c>
      <c r="E92" s="16" t="str">
        <f ca="1">'2PERIODOCONTRALORIA'!C16</f>
        <v xml:space="preserve">DECLARACIONES </v>
      </c>
      <c r="F92" s="16" t="str">
        <f ca="1">'2PERIODOCONTRALORIA'!D16</f>
        <v>ASCENDENTE</v>
      </c>
      <c r="G92" s="16" t="str">
        <f ca="1">'2PERIODOCONTRALORIA'!E16</f>
        <v>BITACORA OPERATIVA</v>
      </c>
      <c r="H92" s="18">
        <f ca="1">'2PERIODOCONTRALORIA'!F16</f>
        <v>0</v>
      </c>
      <c r="I92" s="19">
        <f ca="1">'2PERIODOCONTRALORIA'!G16</f>
        <v>0</v>
      </c>
      <c r="J92" s="19">
        <f ca="1">'2PERIODOCONTRALORIA'!H16</f>
        <v>0</v>
      </c>
      <c r="K92" s="19">
        <f ca="1">'2PERIODOCONTRALORIA'!I16</f>
        <v>0</v>
      </c>
      <c r="L92" s="19">
        <f ca="1">'2PERIODOCONTRALORIA'!J16</f>
        <v>0</v>
      </c>
      <c r="M92" s="19">
        <f ca="1">'2PERIODOCONTRALORIA'!K16</f>
        <v>0</v>
      </c>
      <c r="N92" s="19">
        <f ca="1">'2PERIODOCONTRALORIA'!L16</f>
        <v>0</v>
      </c>
      <c r="O92" s="19">
        <f ca="1">'2PERIODOCONTRALORIA'!M16</f>
        <v>0</v>
      </c>
      <c r="P92" s="19">
        <f ca="1">'2PERIODOCONTRALORIA'!N16</f>
        <v>0</v>
      </c>
      <c r="Q92" s="19">
        <f ca="1">'2PERIODOCONTRALORIA'!O16</f>
        <v>0</v>
      </c>
      <c r="R92" s="19">
        <f ca="1">'2PERIODOCONTRALORIA'!P16</f>
        <v>0</v>
      </c>
      <c r="S92" s="19">
        <f ca="1">'2PERIODOCONTRALORIA'!Q16</f>
        <v>0</v>
      </c>
      <c r="T92" s="19">
        <f ca="1">'2PERIODOCONTRALORIA'!R16</f>
        <v>0</v>
      </c>
      <c r="U92" s="21">
        <f ca="1">'2PERIODOCONTRALORIA'!S16</f>
        <v>0</v>
      </c>
    </row>
    <row r="93" spans="1:21" ht="39.75" customHeight="1">
      <c r="A93" s="53"/>
      <c r="B93" s="53"/>
      <c r="C93" s="12" t="s">
        <v>136</v>
      </c>
      <c r="D93" s="16">
        <v>68</v>
      </c>
      <c r="E93" s="16" t="str">
        <f ca="1">'2PERIODOCONTRALORIA'!C17</f>
        <v xml:space="preserve">DECLARACIONES </v>
      </c>
      <c r="F93" s="16" t="str">
        <f ca="1">'2PERIODOCONTRALORIA'!D17</f>
        <v>ASCENDENTE</v>
      </c>
      <c r="G93" s="16" t="str">
        <f ca="1">'2PERIODOCONTRALORIA'!E17</f>
        <v>BITACORA OPERATIVA</v>
      </c>
      <c r="H93" s="18">
        <f ca="1">'2PERIODOCONTRALORIA'!F17</f>
        <v>0</v>
      </c>
      <c r="I93" s="19">
        <f ca="1">'2PERIODOCONTRALORIA'!G17</f>
        <v>0</v>
      </c>
      <c r="J93" s="19">
        <f ca="1">'2PERIODOCONTRALORIA'!H17</f>
        <v>0</v>
      </c>
      <c r="K93" s="19">
        <f ca="1">'2PERIODOCONTRALORIA'!I17</f>
        <v>0</v>
      </c>
      <c r="L93" s="19">
        <f ca="1">'2PERIODOCONTRALORIA'!J17</f>
        <v>0</v>
      </c>
      <c r="M93" s="19">
        <f ca="1">'2PERIODOCONTRALORIA'!K17</f>
        <v>0</v>
      </c>
      <c r="N93" s="19">
        <f ca="1">'2PERIODOCONTRALORIA'!L17</f>
        <v>0</v>
      </c>
      <c r="O93" s="19">
        <f ca="1">'2PERIODOCONTRALORIA'!M17</f>
        <v>0</v>
      </c>
      <c r="P93" s="19">
        <f ca="1">'2PERIODOCONTRALORIA'!N17</f>
        <v>0</v>
      </c>
      <c r="Q93" s="19">
        <f ca="1">'2PERIODOCONTRALORIA'!O17</f>
        <v>0</v>
      </c>
      <c r="R93" s="19">
        <f ca="1">'2PERIODOCONTRALORIA'!P17</f>
        <v>0</v>
      </c>
      <c r="S93" s="19">
        <f ca="1">'2PERIODOCONTRALORIA'!Q17</f>
        <v>0</v>
      </c>
      <c r="T93" s="19">
        <f ca="1">'2PERIODOCONTRALORIA'!R17</f>
        <v>0</v>
      </c>
      <c r="U93" s="21">
        <f ca="1">'2PERIODOCONTRALORIA'!S17</f>
        <v>0</v>
      </c>
    </row>
    <row r="94" spans="1:21" ht="39.75" customHeight="1">
      <c r="A94" s="53"/>
      <c r="B94" s="53"/>
      <c r="C94" s="12" t="s">
        <v>137</v>
      </c>
      <c r="D94" s="16">
        <v>404</v>
      </c>
      <c r="E94" s="16" t="str">
        <f ca="1">'2PERIODOCONTRALORIA'!C18</f>
        <v xml:space="preserve">DECLARACIONES </v>
      </c>
      <c r="F94" s="16" t="str">
        <f ca="1">'2PERIODOCONTRALORIA'!D18</f>
        <v>ASCENDENTE</v>
      </c>
      <c r="G94" s="16" t="str">
        <f ca="1">'2PERIODOCONTRALORIA'!E18</f>
        <v>BITACORA OPERATIVA</v>
      </c>
      <c r="H94" s="18">
        <f ca="1">'2PERIODOCONTRALORIA'!F18</f>
        <v>0</v>
      </c>
      <c r="I94" s="19">
        <f ca="1">'2PERIODOCONTRALORIA'!G18</f>
        <v>0</v>
      </c>
      <c r="J94" s="19">
        <f ca="1">'2PERIODOCONTRALORIA'!H18</f>
        <v>0</v>
      </c>
      <c r="K94" s="19">
        <f ca="1">'2PERIODOCONTRALORIA'!I18</f>
        <v>0</v>
      </c>
      <c r="L94" s="19">
        <f ca="1">'2PERIODOCONTRALORIA'!J18</f>
        <v>0</v>
      </c>
      <c r="M94" s="19">
        <f ca="1">'2PERIODOCONTRALORIA'!K18</f>
        <v>0</v>
      </c>
      <c r="N94" s="19">
        <f ca="1">'2PERIODOCONTRALORIA'!L18</f>
        <v>0</v>
      </c>
      <c r="O94" s="19">
        <f ca="1">'2PERIODOCONTRALORIA'!M18</f>
        <v>0</v>
      </c>
      <c r="P94" s="19">
        <f ca="1">'2PERIODOCONTRALORIA'!N18</f>
        <v>0</v>
      </c>
      <c r="Q94" s="19">
        <f ca="1">'2PERIODOCONTRALORIA'!O18</f>
        <v>0</v>
      </c>
      <c r="R94" s="19">
        <f ca="1">'2PERIODOCONTRALORIA'!P18</f>
        <v>0</v>
      </c>
      <c r="S94" s="19">
        <f ca="1">'2PERIODOCONTRALORIA'!Q18</f>
        <v>0</v>
      </c>
      <c r="T94" s="19">
        <f ca="1">'2PERIODOCONTRALORIA'!R18</f>
        <v>0</v>
      </c>
      <c r="U94" s="21">
        <f ca="1">'2PERIODOCONTRALORIA'!S18</f>
        <v>0</v>
      </c>
    </row>
    <row r="95" spans="1:21" ht="39.75" customHeight="1">
      <c r="A95" s="51"/>
      <c r="B95" s="51"/>
      <c r="C95" s="12" t="s">
        <v>138</v>
      </c>
      <c r="D95" s="16">
        <v>73</v>
      </c>
      <c r="E95" s="16" t="str">
        <f ca="1">'2PERIODOCONTRALORIA'!C19</f>
        <v xml:space="preserve">DECLARACIONES </v>
      </c>
      <c r="F95" s="16" t="str">
        <f ca="1">'2PERIODOCONTRALORIA'!D19</f>
        <v>ASCENDENTE</v>
      </c>
      <c r="G95" s="16" t="str">
        <f ca="1">'2PERIODOCONTRALORIA'!E19</f>
        <v>BITACORA OPERATIVA</v>
      </c>
      <c r="H95" s="18">
        <f ca="1">'2PERIODOCONTRALORIA'!F19</f>
        <v>0</v>
      </c>
      <c r="I95" s="19">
        <f ca="1">'2PERIODOCONTRALORIA'!G19</f>
        <v>0</v>
      </c>
      <c r="J95" s="19">
        <f ca="1">'2PERIODOCONTRALORIA'!H19</f>
        <v>0</v>
      </c>
      <c r="K95" s="19">
        <f ca="1">'2PERIODOCONTRALORIA'!I19</f>
        <v>0</v>
      </c>
      <c r="L95" s="19">
        <f ca="1">'2PERIODOCONTRALORIA'!J19</f>
        <v>0</v>
      </c>
      <c r="M95" s="19">
        <f ca="1">'2PERIODOCONTRALORIA'!K19</f>
        <v>0</v>
      </c>
      <c r="N95" s="19">
        <f ca="1">'2PERIODOCONTRALORIA'!L19</f>
        <v>0</v>
      </c>
      <c r="O95" s="19">
        <f ca="1">'2PERIODOCONTRALORIA'!M19</f>
        <v>0</v>
      </c>
      <c r="P95" s="19">
        <f ca="1">'2PERIODOCONTRALORIA'!N19</f>
        <v>0</v>
      </c>
      <c r="Q95" s="19">
        <f ca="1">'2PERIODOCONTRALORIA'!O19</f>
        <v>0</v>
      </c>
      <c r="R95" s="19">
        <f ca="1">'2PERIODOCONTRALORIA'!P19</f>
        <v>0</v>
      </c>
      <c r="S95" s="19">
        <f ca="1">'2PERIODOCONTRALORIA'!Q19</f>
        <v>0</v>
      </c>
      <c r="T95" s="19">
        <f ca="1">'2PERIODOCONTRALORIA'!R19</f>
        <v>0</v>
      </c>
      <c r="U95" s="21">
        <f ca="1">'2PERIODOCONTRALORIA'!S19</f>
        <v>0</v>
      </c>
    </row>
    <row r="96" spans="1:21" ht="39.75" customHeight="1">
      <c r="A96" s="55" t="s">
        <v>139</v>
      </c>
      <c r="B96" s="55" t="s">
        <v>140</v>
      </c>
      <c r="C96" s="7" t="s">
        <v>141</v>
      </c>
      <c r="D96" s="32">
        <v>5</v>
      </c>
      <c r="E96" s="16" t="str">
        <f ca="1">'1ER PERIODOADMINISTRACION'!C2</f>
        <v>LICITACIONES</v>
      </c>
      <c r="F96" s="16" t="str">
        <f ca="1">'1ER PERIODOADMINISTRACION'!D2</f>
        <v>ASCENDENTE</v>
      </c>
      <c r="G96" s="16" t="str">
        <f ca="1">'1ER PERIODOADMINISTRACION'!E2</f>
        <v>SESIONES PUBLICAS</v>
      </c>
      <c r="H96" s="18">
        <f ca="1">'2ER PERIODOADMINISTRACION'!F2</f>
        <v>0</v>
      </c>
      <c r="I96" s="19">
        <f ca="1">'2ER PERIODOADMINISTRACION'!G2</f>
        <v>1</v>
      </c>
      <c r="J96" s="19">
        <f ca="1">'2ER PERIODOADMINISTRACION'!H2</f>
        <v>3</v>
      </c>
      <c r="K96" s="19">
        <f ca="1">'2ER PERIODOADMINISTRACION'!I2</f>
        <v>0</v>
      </c>
      <c r="L96" s="19">
        <f ca="1">'2ER PERIODOADMINISTRACION'!J2</f>
        <v>0</v>
      </c>
      <c r="M96" s="19">
        <f ca="1">'2ER PERIODOADMINISTRACION'!K2</f>
        <v>0</v>
      </c>
      <c r="N96" s="19">
        <f ca="1">'2ER PERIODOADMINISTRACION'!L2</f>
        <v>0</v>
      </c>
      <c r="O96" s="19">
        <f ca="1">'2ER PERIODOADMINISTRACION'!M2</f>
        <v>0</v>
      </c>
      <c r="P96" s="19">
        <f ca="1">'2ER PERIODOADMINISTRACION'!N2</f>
        <v>0</v>
      </c>
      <c r="Q96" s="19">
        <f ca="1">'2ER PERIODOADMINISTRACION'!O2</f>
        <v>0</v>
      </c>
      <c r="R96" s="19">
        <f ca="1">'2ER PERIODOADMINISTRACION'!P2</f>
        <v>0</v>
      </c>
      <c r="S96" s="19">
        <f ca="1">'2ER PERIODOADMINISTRACION'!Q2</f>
        <v>0</v>
      </c>
      <c r="T96" s="19">
        <f ca="1">'2ER PERIODOADMINISTRACION'!R2</f>
        <v>0</v>
      </c>
      <c r="U96" s="21">
        <f ca="1">'2ER PERIODOADMINISTRACION'!S2</f>
        <v>4</v>
      </c>
    </row>
    <row r="97" spans="1:21" ht="39.75" customHeight="1">
      <c r="A97" s="53"/>
      <c r="B97" s="53"/>
      <c r="C97" s="7" t="s">
        <v>142</v>
      </c>
      <c r="D97" s="32">
        <v>3</v>
      </c>
      <c r="E97" s="16" t="str">
        <f ca="1">'1ER PERIODOADMINISTRACION'!C3</f>
        <v>ADJUDICACIONES DIRECTAS</v>
      </c>
      <c r="F97" s="16" t="str">
        <f ca="1">'1ER PERIODOADMINISTRACION'!D3</f>
        <v>ASCENDENTE</v>
      </c>
      <c r="G97" s="16" t="str">
        <f ca="1">'1ER PERIODOADMINISTRACION'!E3</f>
        <v>BITACORA DE ATENCION</v>
      </c>
      <c r="H97" s="18">
        <f ca="1">'2ER PERIODOADMINISTRACION'!F3</f>
        <v>0</v>
      </c>
      <c r="I97" s="19">
        <f ca="1">'2ER PERIODOADMINISTRACION'!G3</f>
        <v>0</v>
      </c>
      <c r="J97" s="19">
        <f ca="1">'2ER PERIODOADMINISTRACION'!H3</f>
        <v>0</v>
      </c>
      <c r="K97" s="19">
        <f ca="1">'2ER PERIODOADMINISTRACION'!I3</f>
        <v>0</v>
      </c>
      <c r="L97" s="19">
        <f ca="1">'2ER PERIODOADMINISTRACION'!J3</f>
        <v>0</v>
      </c>
      <c r="M97" s="19">
        <f ca="1">'2ER PERIODOADMINISTRACION'!K3</f>
        <v>0</v>
      </c>
      <c r="N97" s="19">
        <f ca="1">'2ER PERIODOADMINISTRACION'!L3</f>
        <v>0</v>
      </c>
      <c r="O97" s="19">
        <f ca="1">'2ER PERIODOADMINISTRACION'!M3</f>
        <v>0</v>
      </c>
      <c r="P97" s="19">
        <f ca="1">'2ER PERIODOADMINISTRACION'!N3</f>
        <v>0</v>
      </c>
      <c r="Q97" s="19">
        <f ca="1">'2ER PERIODOADMINISTRACION'!O3</f>
        <v>0</v>
      </c>
      <c r="R97" s="19">
        <f ca="1">'2ER PERIODOADMINISTRACION'!P3</f>
        <v>0</v>
      </c>
      <c r="S97" s="19">
        <f ca="1">'2ER PERIODOADMINISTRACION'!Q3</f>
        <v>0</v>
      </c>
      <c r="T97" s="19">
        <f ca="1">'2ER PERIODOADMINISTRACION'!R3</f>
        <v>0</v>
      </c>
      <c r="U97" s="21">
        <f ca="1">'2ER PERIODOADMINISTRACION'!S3</f>
        <v>0</v>
      </c>
    </row>
    <row r="98" spans="1:21" ht="39.75" customHeight="1">
      <c r="A98" s="53"/>
      <c r="B98" s="53"/>
      <c r="C98" s="7" t="s">
        <v>143</v>
      </c>
      <c r="D98" s="32">
        <v>4238</v>
      </c>
      <c r="E98" s="16" t="str">
        <f ca="1">'1ER PERIODOADMINISTRACION'!C4</f>
        <v>REQUISICIONES</v>
      </c>
      <c r="F98" s="16" t="str">
        <f ca="1">'1ER PERIODOADMINISTRACION'!D4</f>
        <v>ASCENDENTE</v>
      </c>
      <c r="G98" s="16" t="str">
        <f ca="1">'1ER PERIODOADMINISTRACION'!E4</f>
        <v>BITACORA DE ATENCION</v>
      </c>
      <c r="H98" s="18">
        <f ca="1">'2ER PERIODOADMINISTRACION'!F4</f>
        <v>0</v>
      </c>
      <c r="I98" s="19">
        <f ca="1">'2ER PERIODOADMINISTRACION'!G4</f>
        <v>624</v>
      </c>
      <c r="J98" s="19">
        <f ca="1">'2ER PERIODOADMINISTRACION'!H4</f>
        <v>494</v>
      </c>
      <c r="K98" s="19">
        <f ca="1">'2ER PERIODOADMINISTRACION'!I4</f>
        <v>0</v>
      </c>
      <c r="L98" s="19">
        <f ca="1">'2ER PERIODOADMINISTRACION'!J4</f>
        <v>0</v>
      </c>
      <c r="M98" s="19">
        <f ca="1">'2ER PERIODOADMINISTRACION'!K4</f>
        <v>0</v>
      </c>
      <c r="N98" s="19">
        <f ca="1">'2ER PERIODOADMINISTRACION'!L4</f>
        <v>0</v>
      </c>
      <c r="O98" s="19">
        <f ca="1">'2ER PERIODOADMINISTRACION'!M4</f>
        <v>0</v>
      </c>
      <c r="P98" s="19">
        <f ca="1">'2ER PERIODOADMINISTRACION'!N4</f>
        <v>0</v>
      </c>
      <c r="Q98" s="19">
        <f ca="1">'2ER PERIODOADMINISTRACION'!O4</f>
        <v>0</v>
      </c>
      <c r="R98" s="19">
        <f ca="1">'2ER PERIODOADMINISTRACION'!P4</f>
        <v>0</v>
      </c>
      <c r="S98" s="19">
        <f ca="1">'2ER PERIODOADMINISTRACION'!Q4</f>
        <v>0</v>
      </c>
      <c r="T98" s="19">
        <f ca="1">'2ER PERIODOADMINISTRACION'!R4</f>
        <v>0</v>
      </c>
      <c r="U98" s="21">
        <f ca="1">'2ER PERIODOADMINISTRACION'!S4</f>
        <v>1118</v>
      </c>
    </row>
    <row r="99" spans="1:21" ht="39.75" customHeight="1">
      <c r="A99" s="53"/>
      <c r="B99" s="51"/>
      <c r="C99" s="7" t="s">
        <v>144</v>
      </c>
      <c r="D99" s="32">
        <v>1594</v>
      </c>
      <c r="E99" s="16" t="str">
        <f ca="1">'1ER PERIODOADMINISTRACION'!C5</f>
        <v>VALES DE ALMACEN</v>
      </c>
      <c r="F99" s="16" t="str">
        <f ca="1">'1ER PERIODOADMINISTRACION'!D5</f>
        <v>ASCENDENTE</v>
      </c>
      <c r="G99" s="16" t="str">
        <f ca="1">'1ER PERIODOADMINISTRACION'!E5</f>
        <v>BITACORA OPERATIVA</v>
      </c>
      <c r="H99" s="18">
        <f ca="1">'2ER PERIODOADMINISTRACION'!F5</f>
        <v>0</v>
      </c>
      <c r="I99" s="19">
        <f ca="1">'2ER PERIODOADMINISTRACION'!G5</f>
        <v>137</v>
      </c>
      <c r="J99" s="19">
        <f ca="1">'2ER PERIODOADMINISTRACION'!H5</f>
        <v>110</v>
      </c>
      <c r="K99" s="19">
        <f ca="1">'2ER PERIODOADMINISTRACION'!I5</f>
        <v>0</v>
      </c>
      <c r="L99" s="19">
        <f ca="1">'2ER PERIODOADMINISTRACION'!J5</f>
        <v>0</v>
      </c>
      <c r="M99" s="19">
        <f ca="1">'2ER PERIODOADMINISTRACION'!K5</f>
        <v>0</v>
      </c>
      <c r="N99" s="19">
        <f ca="1">'2ER PERIODOADMINISTRACION'!L5</f>
        <v>0</v>
      </c>
      <c r="O99" s="19">
        <f ca="1">'2ER PERIODOADMINISTRACION'!M5</f>
        <v>0</v>
      </c>
      <c r="P99" s="19">
        <f ca="1">'2ER PERIODOADMINISTRACION'!N5</f>
        <v>0</v>
      </c>
      <c r="Q99" s="19">
        <f ca="1">'2ER PERIODOADMINISTRACION'!O5</f>
        <v>0</v>
      </c>
      <c r="R99" s="19">
        <f ca="1">'2ER PERIODOADMINISTRACION'!P5</f>
        <v>0</v>
      </c>
      <c r="S99" s="19">
        <f ca="1">'2ER PERIODOADMINISTRACION'!Q5</f>
        <v>0</v>
      </c>
      <c r="T99" s="19">
        <f ca="1">'2ER PERIODOADMINISTRACION'!R5</f>
        <v>0</v>
      </c>
      <c r="U99" s="21">
        <f ca="1">'2ER PERIODOADMINISTRACION'!S5</f>
        <v>247</v>
      </c>
    </row>
    <row r="100" spans="1:21" ht="39.75" customHeight="1">
      <c r="A100" s="53"/>
      <c r="B100" s="55" t="s">
        <v>145</v>
      </c>
      <c r="C100" s="7" t="s">
        <v>146</v>
      </c>
      <c r="D100" s="32">
        <v>3</v>
      </c>
      <c r="E100" s="16" t="str">
        <f ca="1">'1ER PERIODOADMINISTRACION'!C6</f>
        <v>VEHICULOS DEL AYUNTAMIENTO</v>
      </c>
      <c r="F100" s="16" t="str">
        <f ca="1">'1ER PERIODOADMINISTRACION'!D6</f>
        <v>ASCENDENTE</v>
      </c>
      <c r="G100" s="16" t="str">
        <f ca="1">'1ER PERIODOADMINISTRACION'!E6</f>
        <v>BITACORA OPERATIVA</v>
      </c>
      <c r="H100" s="18">
        <f ca="1">'2ER PERIODOADMINISTRACION'!F6</f>
        <v>0</v>
      </c>
      <c r="I100" s="19">
        <f ca="1">'2ER PERIODOADMINISTRACION'!G6</f>
        <v>1</v>
      </c>
      <c r="J100" s="19">
        <f ca="1">'2ER PERIODOADMINISTRACION'!H6</f>
        <v>0</v>
      </c>
      <c r="K100" s="19">
        <f ca="1">'2ER PERIODOADMINISTRACION'!I6</f>
        <v>0</v>
      </c>
      <c r="L100" s="19">
        <f ca="1">'2ER PERIODOADMINISTRACION'!J6</f>
        <v>0</v>
      </c>
      <c r="M100" s="19">
        <f ca="1">'2ER PERIODOADMINISTRACION'!K6</f>
        <v>0</v>
      </c>
      <c r="N100" s="19">
        <f ca="1">'2ER PERIODOADMINISTRACION'!L6</f>
        <v>0</v>
      </c>
      <c r="O100" s="19">
        <f ca="1">'2ER PERIODOADMINISTRACION'!M6</f>
        <v>0</v>
      </c>
      <c r="P100" s="19">
        <f ca="1">'2ER PERIODOADMINISTRACION'!N6</f>
        <v>0</v>
      </c>
      <c r="Q100" s="19">
        <f ca="1">'2ER PERIODOADMINISTRACION'!O6</f>
        <v>0</v>
      </c>
      <c r="R100" s="19">
        <f ca="1">'2ER PERIODOADMINISTRACION'!P6</f>
        <v>0</v>
      </c>
      <c r="S100" s="19">
        <f ca="1">'2ER PERIODOADMINISTRACION'!Q6</f>
        <v>0</v>
      </c>
      <c r="T100" s="19">
        <f ca="1">'2ER PERIODOADMINISTRACION'!R6</f>
        <v>0</v>
      </c>
      <c r="U100" s="21">
        <f ca="1">'2ER PERIODOADMINISTRACION'!S6</f>
        <v>1</v>
      </c>
    </row>
    <row r="101" spans="1:21" ht="39.75" customHeight="1">
      <c r="A101" s="53"/>
      <c r="B101" s="53"/>
      <c r="C101" s="7" t="s">
        <v>147</v>
      </c>
      <c r="D101" s="32">
        <v>16</v>
      </c>
      <c r="E101" s="16" t="str">
        <f ca="1">'1ER PERIODOADMINISTRACION'!C7</f>
        <v>VEHICULOS DEL AYUNTAMIENTO</v>
      </c>
      <c r="F101" s="16" t="str">
        <f ca="1">'1ER PERIODOADMINISTRACION'!D7</f>
        <v>ASCENDENTE</v>
      </c>
      <c r="G101" s="16" t="str">
        <f ca="1">'1ER PERIODOADMINISTRACION'!E7</f>
        <v>BITACORA OPERATIVA</v>
      </c>
      <c r="H101" s="18">
        <f ca="1">'2ER PERIODOADMINISTRACION'!F7</f>
        <v>0</v>
      </c>
      <c r="I101" s="19">
        <f ca="1">'2ER PERIODOADMINISTRACION'!G7</f>
        <v>0</v>
      </c>
      <c r="J101" s="19">
        <f ca="1">'2ER PERIODOADMINISTRACION'!H7</f>
        <v>1</v>
      </c>
      <c r="K101" s="19">
        <f ca="1">'2ER PERIODOADMINISTRACION'!I7</f>
        <v>0</v>
      </c>
      <c r="L101" s="19">
        <f ca="1">'2ER PERIODOADMINISTRACION'!J7</f>
        <v>0</v>
      </c>
      <c r="M101" s="19">
        <f ca="1">'2ER PERIODOADMINISTRACION'!K7</f>
        <v>0</v>
      </c>
      <c r="N101" s="19">
        <f ca="1">'2ER PERIODOADMINISTRACION'!L7</f>
        <v>0</v>
      </c>
      <c r="O101" s="19">
        <f ca="1">'2ER PERIODOADMINISTRACION'!M7</f>
        <v>0</v>
      </c>
      <c r="P101" s="19">
        <f ca="1">'2ER PERIODOADMINISTRACION'!N7</f>
        <v>0</v>
      </c>
      <c r="Q101" s="19">
        <f ca="1">'2ER PERIODOADMINISTRACION'!O7</f>
        <v>0</v>
      </c>
      <c r="R101" s="19">
        <f ca="1">'2ER PERIODOADMINISTRACION'!P7</f>
        <v>0</v>
      </c>
      <c r="S101" s="19">
        <f ca="1">'2ER PERIODOADMINISTRACION'!Q7</f>
        <v>0</v>
      </c>
      <c r="T101" s="19">
        <f ca="1">'2ER PERIODOADMINISTRACION'!R7</f>
        <v>0</v>
      </c>
      <c r="U101" s="21">
        <f ca="1">'2ER PERIODOADMINISTRACION'!S7</f>
        <v>1</v>
      </c>
    </row>
    <row r="102" spans="1:21" ht="39.75" customHeight="1">
      <c r="A102" s="53"/>
      <c r="B102" s="53"/>
      <c r="C102" s="7" t="s">
        <v>148</v>
      </c>
      <c r="D102" s="32">
        <v>17</v>
      </c>
      <c r="E102" s="16" t="str">
        <f ca="1">'1ER PERIODOADMINISTRACION'!C8</f>
        <v>VEHICULOS DEL AYUNTAMIENTO</v>
      </c>
      <c r="F102" s="16" t="str">
        <f ca="1">'1ER PERIODOADMINISTRACION'!D8</f>
        <v>ASCENDENTE</v>
      </c>
      <c r="G102" s="16" t="str">
        <f ca="1">'1ER PERIODOADMINISTRACION'!E8</f>
        <v>BITACORA OPERATIVA</v>
      </c>
      <c r="H102" s="18">
        <f ca="1">'2ER PERIODOADMINISTRACION'!F8</f>
        <v>0</v>
      </c>
      <c r="I102" s="19">
        <f ca="1">'2ER PERIODOADMINISTRACION'!G8</f>
        <v>0</v>
      </c>
      <c r="J102" s="19">
        <f ca="1">'2ER PERIODOADMINISTRACION'!H8</f>
        <v>0</v>
      </c>
      <c r="K102" s="19">
        <f ca="1">'2ER PERIODOADMINISTRACION'!I8</f>
        <v>0</v>
      </c>
      <c r="L102" s="19">
        <f ca="1">'2ER PERIODOADMINISTRACION'!J8</f>
        <v>0</v>
      </c>
      <c r="M102" s="19">
        <f ca="1">'2ER PERIODOADMINISTRACION'!K8</f>
        <v>0</v>
      </c>
      <c r="N102" s="19">
        <f ca="1">'2ER PERIODOADMINISTRACION'!L8</f>
        <v>0</v>
      </c>
      <c r="O102" s="19">
        <f ca="1">'2ER PERIODOADMINISTRACION'!M8</f>
        <v>0</v>
      </c>
      <c r="P102" s="19">
        <f ca="1">'2ER PERIODOADMINISTRACION'!N8</f>
        <v>0</v>
      </c>
      <c r="Q102" s="19">
        <f ca="1">'2ER PERIODOADMINISTRACION'!O8</f>
        <v>0</v>
      </c>
      <c r="R102" s="19">
        <f ca="1">'2ER PERIODOADMINISTRACION'!P8</f>
        <v>0</v>
      </c>
      <c r="S102" s="19">
        <f ca="1">'2ER PERIODOADMINISTRACION'!Q8</f>
        <v>0</v>
      </c>
      <c r="T102" s="19">
        <f ca="1">'2ER PERIODOADMINISTRACION'!R8</f>
        <v>0</v>
      </c>
      <c r="U102" s="21">
        <f ca="1">'2ER PERIODOADMINISTRACION'!S8</f>
        <v>0</v>
      </c>
    </row>
    <row r="103" spans="1:21" ht="39.75" customHeight="1">
      <c r="A103" s="53"/>
      <c r="B103" s="53"/>
      <c r="C103" s="7" t="s">
        <v>149</v>
      </c>
      <c r="D103" s="32">
        <v>1</v>
      </c>
      <c r="E103" s="16" t="str">
        <f ca="1">'1ER PERIODOADMINISTRACION'!C9</f>
        <v>VEHICULOS DEL AYUNTAMIENTO</v>
      </c>
      <c r="F103" s="16" t="str">
        <f ca="1">'1ER PERIODOADMINISTRACION'!D9</f>
        <v>ASCENDENTE</v>
      </c>
      <c r="G103" s="16" t="str">
        <f ca="1">'1ER PERIODOADMINISTRACION'!E9</f>
        <v>BITACORA OPERATIVA</v>
      </c>
      <c r="H103" s="18">
        <f ca="1">'2ER PERIODOADMINISTRACION'!F9</f>
        <v>0</v>
      </c>
      <c r="I103" s="19">
        <f ca="1">'2ER PERIODOADMINISTRACION'!G9</f>
        <v>0</v>
      </c>
      <c r="J103" s="19">
        <f ca="1">'2ER PERIODOADMINISTRACION'!H9</f>
        <v>0</v>
      </c>
      <c r="K103" s="19">
        <f ca="1">'2ER PERIODOADMINISTRACION'!I9</f>
        <v>0</v>
      </c>
      <c r="L103" s="19">
        <f ca="1">'2ER PERIODOADMINISTRACION'!J9</f>
        <v>0</v>
      </c>
      <c r="M103" s="19">
        <f ca="1">'2ER PERIODOADMINISTRACION'!K9</f>
        <v>0</v>
      </c>
      <c r="N103" s="19">
        <f ca="1">'2ER PERIODOADMINISTRACION'!L9</f>
        <v>0</v>
      </c>
      <c r="O103" s="19">
        <f ca="1">'2ER PERIODOADMINISTRACION'!M9</f>
        <v>0</v>
      </c>
      <c r="P103" s="19">
        <f ca="1">'2ER PERIODOADMINISTRACION'!N9</f>
        <v>0</v>
      </c>
      <c r="Q103" s="19">
        <f ca="1">'2ER PERIODOADMINISTRACION'!O9</f>
        <v>0</v>
      </c>
      <c r="R103" s="19">
        <f ca="1">'2ER PERIODOADMINISTRACION'!P9</f>
        <v>0</v>
      </c>
      <c r="S103" s="19">
        <f ca="1">'2ER PERIODOADMINISTRACION'!Q9</f>
        <v>0</v>
      </c>
      <c r="T103" s="19">
        <f ca="1">'2ER PERIODOADMINISTRACION'!R9</f>
        <v>0</v>
      </c>
      <c r="U103" s="21">
        <f ca="1">'2ER PERIODOADMINISTRACION'!S9</f>
        <v>0</v>
      </c>
    </row>
    <row r="104" spans="1:21" ht="39.75" customHeight="1">
      <c r="A104" s="53"/>
      <c r="B104" s="53"/>
      <c r="C104" s="7" t="s">
        <v>150</v>
      </c>
      <c r="D104" s="32">
        <v>1</v>
      </c>
      <c r="E104" s="16" t="str">
        <f ca="1">'1ER PERIODOADMINISTRACION'!C10</f>
        <v>VEHICULOS DEL AYUNTAMIENTO</v>
      </c>
      <c r="F104" s="16" t="str">
        <f ca="1">'1ER PERIODOADMINISTRACION'!D10</f>
        <v>ASCENDENTE</v>
      </c>
      <c r="G104" s="16" t="str">
        <f ca="1">'1ER PERIODOADMINISTRACION'!E10</f>
        <v>BITACORA OPERATIVA</v>
      </c>
      <c r="H104" s="18">
        <f ca="1">'2ER PERIODOADMINISTRACION'!F10</f>
        <v>0</v>
      </c>
      <c r="I104" s="19">
        <f ca="1">'2ER PERIODOADMINISTRACION'!G10</f>
        <v>0</v>
      </c>
      <c r="J104" s="19">
        <f ca="1">'2ER PERIODOADMINISTRACION'!H10</f>
        <v>10</v>
      </c>
      <c r="K104" s="19">
        <f ca="1">'2ER PERIODOADMINISTRACION'!I10</f>
        <v>0</v>
      </c>
      <c r="L104" s="19">
        <f ca="1">'2ER PERIODOADMINISTRACION'!J10</f>
        <v>0</v>
      </c>
      <c r="M104" s="19">
        <f ca="1">'2ER PERIODOADMINISTRACION'!K10</f>
        <v>0</v>
      </c>
      <c r="N104" s="19">
        <f ca="1">'2ER PERIODOADMINISTRACION'!L10</f>
        <v>0</v>
      </c>
      <c r="O104" s="19">
        <f ca="1">'2ER PERIODOADMINISTRACION'!M10</f>
        <v>0</v>
      </c>
      <c r="P104" s="19">
        <f ca="1">'2ER PERIODOADMINISTRACION'!N10</f>
        <v>0</v>
      </c>
      <c r="Q104" s="19">
        <f ca="1">'2ER PERIODOADMINISTRACION'!O10</f>
        <v>0</v>
      </c>
      <c r="R104" s="19">
        <f ca="1">'2ER PERIODOADMINISTRACION'!P10</f>
        <v>0</v>
      </c>
      <c r="S104" s="19">
        <f ca="1">'2ER PERIODOADMINISTRACION'!Q10</f>
        <v>0</v>
      </c>
      <c r="T104" s="19">
        <f ca="1">'2ER PERIODOADMINISTRACION'!R10</f>
        <v>0</v>
      </c>
      <c r="U104" s="21">
        <f ca="1">'2ER PERIODOADMINISTRACION'!S10</f>
        <v>10</v>
      </c>
    </row>
    <row r="105" spans="1:21" ht="39.75" customHeight="1">
      <c r="A105" s="53"/>
      <c r="B105" s="53"/>
      <c r="C105" s="7" t="s">
        <v>151</v>
      </c>
      <c r="D105" s="32">
        <v>2</v>
      </c>
      <c r="E105" s="16" t="str">
        <f ca="1">'1ER PERIODOADMINISTRACION'!C11</f>
        <v>VEHICULOS DEL AYUNTAMIENTO</v>
      </c>
      <c r="F105" s="16" t="str">
        <f ca="1">'1ER PERIODOADMINISTRACION'!D11</f>
        <v>ASCENDENTE</v>
      </c>
      <c r="G105" s="16" t="str">
        <f ca="1">'1ER PERIODOADMINISTRACION'!E11</f>
        <v>BITACORA OPERATIVA</v>
      </c>
      <c r="H105" s="18">
        <f ca="1">'2ER PERIODOADMINISTRACION'!F11</f>
        <v>0</v>
      </c>
      <c r="I105" s="19">
        <f ca="1">'2ER PERIODOADMINISTRACION'!G11</f>
        <v>2</v>
      </c>
      <c r="J105" s="19">
        <f ca="1">'2ER PERIODOADMINISTRACION'!H11</f>
        <v>0</v>
      </c>
      <c r="K105" s="19">
        <f ca="1">'2ER PERIODOADMINISTRACION'!I11</f>
        <v>0</v>
      </c>
      <c r="L105" s="19">
        <f ca="1">'2ER PERIODOADMINISTRACION'!J11</f>
        <v>0</v>
      </c>
      <c r="M105" s="19">
        <f ca="1">'2ER PERIODOADMINISTRACION'!K11</f>
        <v>0</v>
      </c>
      <c r="N105" s="19">
        <f ca="1">'2ER PERIODOADMINISTRACION'!L11</f>
        <v>0</v>
      </c>
      <c r="O105" s="19">
        <f ca="1">'2ER PERIODOADMINISTRACION'!M11</f>
        <v>0</v>
      </c>
      <c r="P105" s="19">
        <f ca="1">'2ER PERIODOADMINISTRACION'!N11</f>
        <v>0</v>
      </c>
      <c r="Q105" s="19">
        <f ca="1">'2ER PERIODOADMINISTRACION'!O11</f>
        <v>0</v>
      </c>
      <c r="R105" s="19">
        <f ca="1">'2ER PERIODOADMINISTRACION'!P11</f>
        <v>0</v>
      </c>
      <c r="S105" s="19">
        <f ca="1">'2ER PERIODOADMINISTRACION'!Q11</f>
        <v>0</v>
      </c>
      <c r="T105" s="19">
        <f ca="1">'2ER PERIODOADMINISTRACION'!R11</f>
        <v>0</v>
      </c>
      <c r="U105" s="21">
        <f ca="1">'2ER PERIODOADMINISTRACION'!S11</f>
        <v>2</v>
      </c>
    </row>
    <row r="106" spans="1:21" ht="39.75" customHeight="1">
      <c r="A106" s="53"/>
      <c r="B106" s="53"/>
      <c r="C106" s="7" t="s">
        <v>152</v>
      </c>
      <c r="D106" s="32">
        <v>1</v>
      </c>
      <c r="E106" s="16" t="str">
        <f ca="1">'1ER PERIODOADMINISTRACION'!C12</f>
        <v>VEHICULOS DEL AYUNTAMIENTO</v>
      </c>
      <c r="F106" s="16" t="str">
        <f ca="1">'1ER PERIODOADMINISTRACION'!D12</f>
        <v>ASCENDENTE</v>
      </c>
      <c r="G106" s="16" t="str">
        <f ca="1">'1ER PERIODOADMINISTRACION'!E12</f>
        <v>BITACORA OPERATIVA</v>
      </c>
      <c r="H106" s="18">
        <f ca="1">'2ER PERIODOADMINISTRACION'!F12</f>
        <v>0</v>
      </c>
      <c r="I106" s="19">
        <f ca="1">'2ER PERIODOADMINISTRACION'!G12</f>
        <v>0</v>
      </c>
      <c r="J106" s="19">
        <f ca="1">'2ER PERIODOADMINISTRACION'!H12</f>
        <v>0</v>
      </c>
      <c r="K106" s="19">
        <f ca="1">'2ER PERIODOADMINISTRACION'!I12</f>
        <v>0</v>
      </c>
      <c r="L106" s="19">
        <f ca="1">'2ER PERIODOADMINISTRACION'!J12</f>
        <v>0</v>
      </c>
      <c r="M106" s="19">
        <f ca="1">'2ER PERIODOADMINISTRACION'!K12</f>
        <v>0</v>
      </c>
      <c r="N106" s="19">
        <f ca="1">'2ER PERIODOADMINISTRACION'!L12</f>
        <v>0</v>
      </c>
      <c r="O106" s="19">
        <f ca="1">'2ER PERIODOADMINISTRACION'!M12</f>
        <v>0</v>
      </c>
      <c r="P106" s="19">
        <f ca="1">'2ER PERIODOADMINISTRACION'!N12</f>
        <v>0</v>
      </c>
      <c r="Q106" s="19">
        <f ca="1">'2ER PERIODOADMINISTRACION'!O12</f>
        <v>0</v>
      </c>
      <c r="R106" s="19">
        <f ca="1">'2ER PERIODOADMINISTRACION'!P12</f>
        <v>0</v>
      </c>
      <c r="S106" s="19">
        <f ca="1">'2ER PERIODOADMINISTRACION'!Q12</f>
        <v>0</v>
      </c>
      <c r="T106" s="19">
        <f ca="1">'2ER PERIODOADMINISTRACION'!R12</f>
        <v>0</v>
      </c>
      <c r="U106" s="21">
        <f ca="1">'2ER PERIODOADMINISTRACION'!S12</f>
        <v>0</v>
      </c>
    </row>
    <row r="107" spans="1:21" ht="39.75" customHeight="1">
      <c r="A107" s="53"/>
      <c r="B107" s="53"/>
      <c r="C107" s="7" t="s">
        <v>153</v>
      </c>
      <c r="D107" s="32">
        <v>1</v>
      </c>
      <c r="E107" s="16" t="str">
        <f ca="1">'1ER PERIODOADMINISTRACION'!C13</f>
        <v>VEHICULOS DEL AYUNTAMIENTO</v>
      </c>
      <c r="F107" s="16" t="str">
        <f ca="1">'1ER PERIODOADMINISTRACION'!D13</f>
        <v>ASCENDENTE</v>
      </c>
      <c r="G107" s="16" t="str">
        <f ca="1">'1ER PERIODOADMINISTRACION'!E13</f>
        <v>BITACORA OPERATIVA</v>
      </c>
      <c r="H107" s="18">
        <f ca="1">'2ER PERIODOADMINISTRACION'!F13</f>
        <v>0</v>
      </c>
      <c r="I107" s="19">
        <f ca="1">'2ER PERIODOADMINISTRACION'!G13</f>
        <v>0</v>
      </c>
      <c r="J107" s="19">
        <f ca="1">'2ER PERIODOADMINISTRACION'!H13</f>
        <v>0</v>
      </c>
      <c r="K107" s="19">
        <f ca="1">'2ER PERIODOADMINISTRACION'!I13</f>
        <v>0</v>
      </c>
      <c r="L107" s="19">
        <f ca="1">'2ER PERIODOADMINISTRACION'!J13</f>
        <v>0</v>
      </c>
      <c r="M107" s="19">
        <f ca="1">'2ER PERIODOADMINISTRACION'!K13</f>
        <v>0</v>
      </c>
      <c r="N107" s="19">
        <f ca="1">'2ER PERIODOADMINISTRACION'!L13</f>
        <v>0</v>
      </c>
      <c r="O107" s="19">
        <f ca="1">'2ER PERIODOADMINISTRACION'!M13</f>
        <v>0</v>
      </c>
      <c r="P107" s="19">
        <f ca="1">'2ER PERIODOADMINISTRACION'!N13</f>
        <v>0</v>
      </c>
      <c r="Q107" s="19">
        <f ca="1">'2ER PERIODOADMINISTRACION'!O13</f>
        <v>0</v>
      </c>
      <c r="R107" s="19">
        <f ca="1">'2ER PERIODOADMINISTRACION'!P13</f>
        <v>0</v>
      </c>
      <c r="S107" s="19">
        <f ca="1">'2ER PERIODOADMINISTRACION'!Q13</f>
        <v>0</v>
      </c>
      <c r="T107" s="19">
        <f ca="1">'2ER PERIODOADMINISTRACION'!R13</f>
        <v>0</v>
      </c>
      <c r="U107" s="21">
        <f ca="1">'2ER PERIODOADMINISTRACION'!S13</f>
        <v>0</v>
      </c>
    </row>
    <row r="108" spans="1:21" ht="39.75" customHeight="1">
      <c r="A108" s="53"/>
      <c r="B108" s="53"/>
      <c r="C108" s="7" t="s">
        <v>154</v>
      </c>
      <c r="D108" s="32">
        <v>51</v>
      </c>
      <c r="E108" s="16" t="str">
        <f ca="1">'1ER PERIODOADMINISTRACION'!C14</f>
        <v>VEHICULOS DEL AYUNTAMIENTO</v>
      </c>
      <c r="F108" s="16" t="str">
        <f ca="1">'1ER PERIODOADMINISTRACION'!D14</f>
        <v>ASCENDENTE</v>
      </c>
      <c r="G108" s="16" t="str">
        <f ca="1">'1ER PERIODOADMINISTRACION'!E14</f>
        <v>BITACORA OPERATIVA</v>
      </c>
      <c r="H108" s="18">
        <f ca="1">'2ER PERIODOADMINISTRACION'!F14</f>
        <v>0</v>
      </c>
      <c r="I108" s="19">
        <f ca="1">'2ER PERIODOADMINISTRACION'!G14</f>
        <v>3</v>
      </c>
      <c r="J108" s="19">
        <f ca="1">'2ER PERIODOADMINISTRACION'!H14</f>
        <v>2</v>
      </c>
      <c r="K108" s="19">
        <f ca="1">'2ER PERIODOADMINISTRACION'!I14</f>
        <v>0</v>
      </c>
      <c r="L108" s="19">
        <f ca="1">'2ER PERIODOADMINISTRACION'!J14</f>
        <v>0</v>
      </c>
      <c r="M108" s="19">
        <f ca="1">'2ER PERIODOADMINISTRACION'!K14</f>
        <v>0</v>
      </c>
      <c r="N108" s="19">
        <f ca="1">'2ER PERIODOADMINISTRACION'!L14</f>
        <v>0</v>
      </c>
      <c r="O108" s="19">
        <f ca="1">'2ER PERIODOADMINISTRACION'!M14</f>
        <v>0</v>
      </c>
      <c r="P108" s="19">
        <f ca="1">'2ER PERIODOADMINISTRACION'!N14</f>
        <v>0</v>
      </c>
      <c r="Q108" s="19">
        <f ca="1">'2ER PERIODOADMINISTRACION'!O14</f>
        <v>0</v>
      </c>
      <c r="R108" s="19">
        <f ca="1">'2ER PERIODOADMINISTRACION'!P14</f>
        <v>0</v>
      </c>
      <c r="S108" s="19">
        <f ca="1">'2ER PERIODOADMINISTRACION'!Q14</f>
        <v>0</v>
      </c>
      <c r="T108" s="19">
        <f ca="1">'2ER PERIODOADMINISTRACION'!R14</f>
        <v>0</v>
      </c>
      <c r="U108" s="21">
        <f ca="1">'2ER PERIODOADMINISTRACION'!S14</f>
        <v>5</v>
      </c>
    </row>
    <row r="109" spans="1:21" ht="39.75" customHeight="1">
      <c r="A109" s="53"/>
      <c r="B109" s="53"/>
      <c r="C109" s="7" t="s">
        <v>155</v>
      </c>
      <c r="D109" s="32">
        <v>202</v>
      </c>
      <c r="E109" s="16" t="str">
        <f ca="1">'1ER PERIODOADMINISTRACION'!C15</f>
        <v>VEHICULOS DEL AYUNTAMIENTO</v>
      </c>
      <c r="F109" s="16" t="str">
        <f ca="1">'1ER PERIODOADMINISTRACION'!D15</f>
        <v>ASCENDENTE</v>
      </c>
      <c r="G109" s="16" t="str">
        <f ca="1">'1ER PERIODOADMINISTRACION'!E15</f>
        <v>BITACORA OPERATIVA</v>
      </c>
      <c r="H109" s="18">
        <f ca="1">'2ER PERIODOADMINISTRACION'!F15</f>
        <v>0</v>
      </c>
      <c r="I109" s="19">
        <f ca="1">'2ER PERIODOADMINISTRACION'!G15</f>
        <v>0</v>
      </c>
      <c r="J109" s="19">
        <f ca="1">'2ER PERIODOADMINISTRACION'!H15</f>
        <v>0</v>
      </c>
      <c r="K109" s="19">
        <f ca="1">'2ER PERIODOADMINISTRACION'!I15</f>
        <v>0</v>
      </c>
      <c r="L109" s="19">
        <f ca="1">'2ER PERIODOADMINISTRACION'!J15</f>
        <v>0</v>
      </c>
      <c r="M109" s="19">
        <f ca="1">'2ER PERIODOADMINISTRACION'!K15</f>
        <v>0</v>
      </c>
      <c r="N109" s="19">
        <f ca="1">'2ER PERIODOADMINISTRACION'!L15</f>
        <v>0</v>
      </c>
      <c r="O109" s="19">
        <f ca="1">'2ER PERIODOADMINISTRACION'!M15</f>
        <v>0</v>
      </c>
      <c r="P109" s="19">
        <f ca="1">'2ER PERIODOADMINISTRACION'!N15</f>
        <v>0</v>
      </c>
      <c r="Q109" s="19">
        <f ca="1">'2ER PERIODOADMINISTRACION'!O15</f>
        <v>0</v>
      </c>
      <c r="R109" s="19">
        <f ca="1">'2ER PERIODOADMINISTRACION'!P15</f>
        <v>0</v>
      </c>
      <c r="S109" s="19">
        <f ca="1">'2ER PERIODOADMINISTRACION'!Q15</f>
        <v>0</v>
      </c>
      <c r="T109" s="19">
        <f ca="1">'2ER PERIODOADMINISTRACION'!R15</f>
        <v>0</v>
      </c>
      <c r="U109" s="21">
        <f ca="1">'2ER PERIODOADMINISTRACION'!S15</f>
        <v>0</v>
      </c>
    </row>
    <row r="110" spans="1:21" ht="39.75" customHeight="1">
      <c r="A110" s="53"/>
      <c r="B110" s="53"/>
      <c r="C110" s="7" t="s">
        <v>156</v>
      </c>
      <c r="D110" s="32">
        <v>1</v>
      </c>
      <c r="E110" s="16" t="str">
        <f ca="1">'1ER PERIODOADMINISTRACION'!C16</f>
        <v>INFRACCIONES</v>
      </c>
      <c r="F110" s="16" t="str">
        <f ca="1">'1ER PERIODOADMINISTRACION'!D16</f>
        <v>DECENDENTE</v>
      </c>
      <c r="G110" s="16" t="str">
        <f ca="1">'1ER PERIODOADMINISTRACION'!E16</f>
        <v>BITACORA OPERATIVA</v>
      </c>
      <c r="H110" s="18">
        <f ca="1">'2ER PERIODOADMINISTRACION'!F16</f>
        <v>0</v>
      </c>
      <c r="I110" s="19">
        <f ca="1">'2ER PERIODOADMINISTRACION'!G16</f>
        <v>0</v>
      </c>
      <c r="J110" s="19">
        <f ca="1">'2ER PERIODOADMINISTRACION'!H16</f>
        <v>0</v>
      </c>
      <c r="K110" s="19">
        <f ca="1">'2ER PERIODOADMINISTRACION'!I16</f>
        <v>0</v>
      </c>
      <c r="L110" s="19">
        <f ca="1">'2ER PERIODOADMINISTRACION'!J16</f>
        <v>0</v>
      </c>
      <c r="M110" s="19">
        <f ca="1">'2ER PERIODOADMINISTRACION'!K16</f>
        <v>0</v>
      </c>
      <c r="N110" s="19">
        <f ca="1">'2ER PERIODOADMINISTRACION'!L16</f>
        <v>0</v>
      </c>
      <c r="O110" s="19">
        <f ca="1">'2ER PERIODOADMINISTRACION'!M16</f>
        <v>0</v>
      </c>
      <c r="P110" s="19">
        <f ca="1">'2ER PERIODOADMINISTRACION'!N16</f>
        <v>0</v>
      </c>
      <c r="Q110" s="19">
        <f ca="1">'2ER PERIODOADMINISTRACION'!O16</f>
        <v>0</v>
      </c>
      <c r="R110" s="19">
        <f ca="1">'2ER PERIODOADMINISTRACION'!P16</f>
        <v>0</v>
      </c>
      <c r="S110" s="19">
        <f ca="1">'2ER PERIODOADMINISTRACION'!Q16</f>
        <v>0</v>
      </c>
      <c r="T110" s="19">
        <f ca="1">'2ER PERIODOADMINISTRACION'!R16</f>
        <v>0</v>
      </c>
      <c r="U110" s="21">
        <f ca="1">'2ER PERIODOADMINISTRACION'!S16</f>
        <v>0</v>
      </c>
    </row>
    <row r="111" spans="1:21" ht="39.75" customHeight="1">
      <c r="A111" s="53"/>
      <c r="B111" s="53"/>
      <c r="C111" s="7" t="s">
        <v>157</v>
      </c>
      <c r="D111" s="32">
        <v>839</v>
      </c>
      <c r="E111" s="16" t="str">
        <f ca="1">'1ER PERIODOADMINISTRACION'!C17</f>
        <v>POLIZAS</v>
      </c>
      <c r="F111" s="16" t="str">
        <f ca="1">'1ER PERIODOADMINISTRACION'!D17</f>
        <v>ASCENDENTE</v>
      </c>
      <c r="G111" s="16" t="str">
        <f ca="1">'1ER PERIODOADMINISTRACION'!E17</f>
        <v>BITACORA OPERATIVA</v>
      </c>
      <c r="H111" s="18">
        <f ca="1">'2ER PERIODOADMINISTRACION'!F17</f>
        <v>0</v>
      </c>
      <c r="I111" s="19">
        <f ca="1">'2ER PERIODOADMINISTRACION'!G17</f>
        <v>1</v>
      </c>
      <c r="J111" s="19">
        <f ca="1">'2ER PERIODOADMINISTRACION'!H17</f>
        <v>3</v>
      </c>
      <c r="K111" s="19">
        <f ca="1">'2ER PERIODOADMINISTRACION'!I17</f>
        <v>0</v>
      </c>
      <c r="L111" s="19">
        <f ca="1">'2ER PERIODOADMINISTRACION'!J17</f>
        <v>0</v>
      </c>
      <c r="M111" s="19">
        <f ca="1">'2ER PERIODOADMINISTRACION'!K17</f>
        <v>0</v>
      </c>
      <c r="N111" s="19">
        <f ca="1">'2ER PERIODOADMINISTRACION'!L17</f>
        <v>0</v>
      </c>
      <c r="O111" s="19">
        <f ca="1">'2ER PERIODOADMINISTRACION'!M17</f>
        <v>0</v>
      </c>
      <c r="P111" s="19">
        <f ca="1">'2ER PERIODOADMINISTRACION'!N17</f>
        <v>0</v>
      </c>
      <c r="Q111" s="19">
        <f ca="1">'2ER PERIODOADMINISTRACION'!O17</f>
        <v>0</v>
      </c>
      <c r="R111" s="19">
        <f ca="1">'2ER PERIODOADMINISTRACION'!P17</f>
        <v>0</v>
      </c>
      <c r="S111" s="19">
        <f ca="1">'2ER PERIODOADMINISTRACION'!Q17</f>
        <v>0</v>
      </c>
      <c r="T111" s="19">
        <f ca="1">'2ER PERIODOADMINISTRACION'!R17</f>
        <v>0</v>
      </c>
      <c r="U111" s="21">
        <f ca="1">'2ER PERIODOADMINISTRACION'!S17</f>
        <v>4</v>
      </c>
    </row>
    <row r="112" spans="1:21" ht="39.75" customHeight="1">
      <c r="A112" s="53"/>
      <c r="B112" s="53"/>
      <c r="C112" s="7" t="s">
        <v>158</v>
      </c>
      <c r="D112" s="32">
        <v>1</v>
      </c>
      <c r="E112" s="16" t="str">
        <f ca="1">'1ER PERIODOADMINISTRACION'!C18</f>
        <v>BIENES PATRIMONIADOS</v>
      </c>
      <c r="F112" s="16" t="str">
        <f ca="1">'1ER PERIODOADMINISTRACION'!D18</f>
        <v>ASCENDENTE</v>
      </c>
      <c r="G112" s="16" t="str">
        <f ca="1">'1ER PERIODOADMINISTRACION'!E18</f>
        <v>BITACORA OPERATIVA</v>
      </c>
      <c r="H112" s="18">
        <f ca="1">'2ER PERIODOADMINISTRACION'!F18</f>
        <v>0</v>
      </c>
      <c r="I112" s="19">
        <f ca="1">'2ER PERIODOADMINISTRACION'!G18</f>
        <v>0</v>
      </c>
      <c r="J112" s="19">
        <f ca="1">'2ER PERIODOADMINISTRACION'!H18</f>
        <v>0</v>
      </c>
      <c r="K112" s="19">
        <f ca="1">'2ER PERIODOADMINISTRACION'!I18</f>
        <v>0</v>
      </c>
      <c r="L112" s="19">
        <f ca="1">'2ER PERIODOADMINISTRACION'!J18</f>
        <v>0</v>
      </c>
      <c r="M112" s="19">
        <f ca="1">'2ER PERIODOADMINISTRACION'!K18</f>
        <v>0</v>
      </c>
      <c r="N112" s="19">
        <f ca="1">'2ER PERIODOADMINISTRACION'!L18</f>
        <v>0</v>
      </c>
      <c r="O112" s="19">
        <f ca="1">'2ER PERIODOADMINISTRACION'!M18</f>
        <v>0</v>
      </c>
      <c r="P112" s="19">
        <f ca="1">'2ER PERIODOADMINISTRACION'!N18</f>
        <v>0</v>
      </c>
      <c r="Q112" s="19">
        <f ca="1">'2ER PERIODOADMINISTRACION'!O18</f>
        <v>0</v>
      </c>
      <c r="R112" s="19">
        <f ca="1">'2ER PERIODOADMINISTRACION'!P18</f>
        <v>0</v>
      </c>
      <c r="S112" s="19">
        <f ca="1">'2ER PERIODOADMINISTRACION'!Q18</f>
        <v>0</v>
      </c>
      <c r="T112" s="19">
        <f ca="1">'2ER PERIODOADMINISTRACION'!R18</f>
        <v>0</v>
      </c>
      <c r="U112" s="21">
        <f ca="1">'2ER PERIODOADMINISTRACION'!S18</f>
        <v>0</v>
      </c>
    </row>
    <row r="113" spans="1:21" ht="39.75" customHeight="1">
      <c r="A113" s="53"/>
      <c r="B113" s="53"/>
      <c r="C113" s="7" t="s">
        <v>159</v>
      </c>
      <c r="D113" s="32">
        <v>3</v>
      </c>
      <c r="E113" s="16" t="str">
        <f ca="1">'1ER PERIODOADMINISTRACION'!C19</f>
        <v>BIENES PATRIMONIADOS</v>
      </c>
      <c r="F113" s="16" t="str">
        <f ca="1">'1ER PERIODOADMINISTRACION'!D19</f>
        <v>ASCENDENTE</v>
      </c>
      <c r="G113" s="16" t="str">
        <f ca="1">'1ER PERIODOADMINISTRACION'!E19</f>
        <v>BITACORA OPERATIVA</v>
      </c>
      <c r="H113" s="18">
        <f ca="1">'2ER PERIODOADMINISTRACION'!F19</f>
        <v>0</v>
      </c>
      <c r="I113" s="19">
        <f ca="1">'2ER PERIODOADMINISTRACION'!G19</f>
        <v>0</v>
      </c>
      <c r="J113" s="19">
        <f ca="1">'2ER PERIODOADMINISTRACION'!H19</f>
        <v>0</v>
      </c>
      <c r="K113" s="19">
        <f ca="1">'2ER PERIODOADMINISTRACION'!I19</f>
        <v>0</v>
      </c>
      <c r="L113" s="19">
        <f ca="1">'2ER PERIODOADMINISTRACION'!J19</f>
        <v>0</v>
      </c>
      <c r="M113" s="19">
        <f ca="1">'2ER PERIODOADMINISTRACION'!K19</f>
        <v>0</v>
      </c>
      <c r="N113" s="19">
        <f ca="1">'2ER PERIODOADMINISTRACION'!L19</f>
        <v>0</v>
      </c>
      <c r="O113" s="19">
        <f ca="1">'2ER PERIODOADMINISTRACION'!M19</f>
        <v>0</v>
      </c>
      <c r="P113" s="19">
        <f ca="1">'2ER PERIODOADMINISTRACION'!N19</f>
        <v>0</v>
      </c>
      <c r="Q113" s="19">
        <f ca="1">'2ER PERIODOADMINISTRACION'!O19</f>
        <v>0</v>
      </c>
      <c r="R113" s="19">
        <f ca="1">'2ER PERIODOADMINISTRACION'!P19</f>
        <v>0</v>
      </c>
      <c r="S113" s="19">
        <f ca="1">'2ER PERIODOADMINISTRACION'!Q19</f>
        <v>0</v>
      </c>
      <c r="T113" s="19">
        <f ca="1">'2ER PERIODOADMINISTRACION'!R19</f>
        <v>0</v>
      </c>
      <c r="U113" s="21">
        <f ca="1">'2ER PERIODOADMINISTRACION'!S19</f>
        <v>0</v>
      </c>
    </row>
    <row r="114" spans="1:21" ht="39.75" customHeight="1">
      <c r="A114" s="53"/>
      <c r="B114" s="53"/>
      <c r="C114" s="7" t="s">
        <v>160</v>
      </c>
      <c r="D114" s="32">
        <v>1</v>
      </c>
      <c r="E114" s="16" t="str">
        <f ca="1">'1ER PERIODOADMINISTRACION'!C20</f>
        <v>BIENES PATRIMONIADOS</v>
      </c>
      <c r="F114" s="16" t="str">
        <f ca="1">'1ER PERIODOADMINISTRACION'!D20</f>
        <v>ASCENDENTE</v>
      </c>
      <c r="G114" s="16" t="str">
        <f ca="1">'1ER PERIODOADMINISTRACION'!E20</f>
        <v>BITACORA OPERATIVA</v>
      </c>
      <c r="H114" s="18">
        <f ca="1">'2ER PERIODOADMINISTRACION'!F20</f>
        <v>0</v>
      </c>
      <c r="I114" s="19">
        <f ca="1">'2ER PERIODOADMINISTRACION'!G20</f>
        <v>0</v>
      </c>
      <c r="J114" s="19">
        <f ca="1">'2ER PERIODOADMINISTRACION'!H20</f>
        <v>4</v>
      </c>
      <c r="K114" s="19">
        <f ca="1">'2ER PERIODOADMINISTRACION'!I20</f>
        <v>0</v>
      </c>
      <c r="L114" s="19">
        <f ca="1">'2ER PERIODOADMINISTRACION'!J20</f>
        <v>0</v>
      </c>
      <c r="M114" s="19">
        <f ca="1">'2ER PERIODOADMINISTRACION'!K20</f>
        <v>0</v>
      </c>
      <c r="N114" s="19">
        <f ca="1">'2ER PERIODOADMINISTRACION'!L20</f>
        <v>0</v>
      </c>
      <c r="O114" s="19">
        <f ca="1">'2ER PERIODOADMINISTRACION'!M20</f>
        <v>0</v>
      </c>
      <c r="P114" s="19">
        <f ca="1">'2ER PERIODOADMINISTRACION'!N20</f>
        <v>0</v>
      </c>
      <c r="Q114" s="19">
        <f ca="1">'2ER PERIODOADMINISTRACION'!O20</f>
        <v>0</v>
      </c>
      <c r="R114" s="19">
        <f ca="1">'2ER PERIODOADMINISTRACION'!P20</f>
        <v>0</v>
      </c>
      <c r="S114" s="19">
        <f ca="1">'2ER PERIODOADMINISTRACION'!Q20</f>
        <v>0</v>
      </c>
      <c r="T114" s="19">
        <f ca="1">'2ER PERIODOADMINISTRACION'!R20</f>
        <v>0</v>
      </c>
      <c r="U114" s="21">
        <f ca="1">'2ER PERIODOADMINISTRACION'!S20</f>
        <v>4</v>
      </c>
    </row>
    <row r="115" spans="1:21" ht="39.75" customHeight="1">
      <c r="A115" s="53"/>
      <c r="B115" s="53"/>
      <c r="C115" s="7" t="s">
        <v>161</v>
      </c>
      <c r="D115" s="32">
        <v>3</v>
      </c>
      <c r="E115" s="16" t="str">
        <f ca="1">'1ER PERIODOADMINISTRACION'!C21</f>
        <v>BIENES PATRIMONIADOS</v>
      </c>
      <c r="F115" s="16" t="str">
        <f ca="1">'1ER PERIODOADMINISTRACION'!D21</f>
        <v>ASCENDENTE</v>
      </c>
      <c r="G115" s="16" t="str">
        <f ca="1">'1ER PERIODOADMINISTRACION'!E21</f>
        <v>BITACORA OPERATIVA</v>
      </c>
      <c r="H115" s="18">
        <f ca="1">'2ER PERIODOADMINISTRACION'!F21</f>
        <v>0</v>
      </c>
      <c r="I115" s="19">
        <f ca="1">'2ER PERIODOADMINISTRACION'!G21</f>
        <v>0</v>
      </c>
      <c r="J115" s="19">
        <f ca="1">'2ER PERIODOADMINISTRACION'!H21</f>
        <v>0</v>
      </c>
      <c r="K115" s="19">
        <f ca="1">'2ER PERIODOADMINISTRACION'!I21</f>
        <v>0</v>
      </c>
      <c r="L115" s="19">
        <f ca="1">'2ER PERIODOADMINISTRACION'!J21</f>
        <v>0</v>
      </c>
      <c r="M115" s="19">
        <f ca="1">'2ER PERIODOADMINISTRACION'!K21</f>
        <v>0</v>
      </c>
      <c r="N115" s="19">
        <f ca="1">'2ER PERIODOADMINISTRACION'!L21</f>
        <v>0</v>
      </c>
      <c r="O115" s="19">
        <f ca="1">'2ER PERIODOADMINISTRACION'!M21</f>
        <v>0</v>
      </c>
      <c r="P115" s="19">
        <f ca="1">'2ER PERIODOADMINISTRACION'!N21</f>
        <v>0</v>
      </c>
      <c r="Q115" s="19">
        <f ca="1">'2ER PERIODOADMINISTRACION'!O21</f>
        <v>0</v>
      </c>
      <c r="R115" s="19">
        <f ca="1">'2ER PERIODOADMINISTRACION'!P21</f>
        <v>0</v>
      </c>
      <c r="S115" s="19">
        <f ca="1">'2ER PERIODOADMINISTRACION'!Q21</f>
        <v>0</v>
      </c>
      <c r="T115" s="19">
        <f ca="1">'2ER PERIODOADMINISTRACION'!R21</f>
        <v>0</v>
      </c>
      <c r="U115" s="21">
        <f ca="1">'2ER PERIODOADMINISTRACION'!S21</f>
        <v>0</v>
      </c>
    </row>
    <row r="116" spans="1:21" ht="39.75" customHeight="1">
      <c r="A116" s="53"/>
      <c r="B116" s="53"/>
      <c r="C116" s="7" t="s">
        <v>162</v>
      </c>
      <c r="D116" s="32">
        <v>1</v>
      </c>
      <c r="E116" s="16" t="str">
        <f ca="1">'1ER PERIODOADMINISTRACION'!C22</f>
        <v>VEHICULOS VERIFICADOS</v>
      </c>
      <c r="F116" s="16" t="str">
        <f ca="1">'1ER PERIODOADMINISTRACION'!D22</f>
        <v>ASCENDENTE</v>
      </c>
      <c r="G116" s="16" t="str">
        <f ca="1">'1ER PERIODOADMINISTRACION'!E22</f>
        <v>BITACORA OPERATIVA</v>
      </c>
      <c r="H116" s="18">
        <f ca="1">'2ER PERIODOADMINISTRACION'!F22</f>
        <v>0</v>
      </c>
      <c r="I116" s="19">
        <f ca="1">'2ER PERIODOADMINISTRACION'!G22</f>
        <v>2</v>
      </c>
      <c r="J116" s="19">
        <f ca="1">'2ER PERIODOADMINISTRACION'!H22</f>
        <v>5</v>
      </c>
      <c r="K116" s="19">
        <f ca="1">'2ER PERIODOADMINISTRACION'!I22</f>
        <v>0</v>
      </c>
      <c r="L116" s="19">
        <f ca="1">'2ER PERIODOADMINISTRACION'!J22</f>
        <v>0</v>
      </c>
      <c r="M116" s="19">
        <f ca="1">'2ER PERIODOADMINISTRACION'!K22</f>
        <v>0</v>
      </c>
      <c r="N116" s="19">
        <f ca="1">'2ER PERIODOADMINISTRACION'!L22</f>
        <v>0</v>
      </c>
      <c r="O116" s="19">
        <f ca="1">'2ER PERIODOADMINISTRACION'!M22</f>
        <v>0</v>
      </c>
      <c r="P116" s="19">
        <f ca="1">'2ER PERIODOADMINISTRACION'!N22</f>
        <v>0</v>
      </c>
      <c r="Q116" s="19">
        <f ca="1">'2ER PERIODOADMINISTRACION'!O22</f>
        <v>0</v>
      </c>
      <c r="R116" s="19">
        <f ca="1">'2ER PERIODOADMINISTRACION'!P22</f>
        <v>0</v>
      </c>
      <c r="S116" s="19">
        <f ca="1">'2ER PERIODOADMINISTRACION'!Q22</f>
        <v>0</v>
      </c>
      <c r="T116" s="19">
        <f ca="1">'2ER PERIODOADMINISTRACION'!R22</f>
        <v>0</v>
      </c>
      <c r="U116" s="21">
        <f ca="1">'2ER PERIODOADMINISTRACION'!S22</f>
        <v>7</v>
      </c>
    </row>
    <row r="117" spans="1:21" ht="39.75" customHeight="1">
      <c r="A117" s="53"/>
      <c r="B117" s="53"/>
      <c r="C117" s="7" t="s">
        <v>163</v>
      </c>
      <c r="D117" s="32">
        <v>74</v>
      </c>
      <c r="E117" s="16" t="str">
        <f ca="1">'1ER PERIODOADMINISTRACION'!C23</f>
        <v>RADIOS DE COMUNICACION ADQUIRIDOS</v>
      </c>
      <c r="F117" s="16" t="str">
        <f ca="1">'1ER PERIODOADMINISTRACION'!D23</f>
        <v>ASCENDENTE</v>
      </c>
      <c r="G117" s="16" t="str">
        <f ca="1">'1ER PERIODOADMINISTRACION'!E23</f>
        <v>BITACORA OPERATIVA</v>
      </c>
      <c r="H117" s="18">
        <f ca="1">'2ER PERIODOADMINISTRACION'!F23</f>
        <v>0</v>
      </c>
      <c r="I117" s="19">
        <f ca="1">'2ER PERIODOADMINISTRACION'!G23</f>
        <v>0</v>
      </c>
      <c r="J117" s="19">
        <f ca="1">'2ER PERIODOADMINISTRACION'!H23</f>
        <v>11</v>
      </c>
      <c r="K117" s="19">
        <f ca="1">'2ER PERIODOADMINISTRACION'!I23</f>
        <v>0</v>
      </c>
      <c r="L117" s="19">
        <f ca="1">'2ER PERIODOADMINISTRACION'!J23</f>
        <v>0</v>
      </c>
      <c r="M117" s="19">
        <f ca="1">'2ER PERIODOADMINISTRACION'!K23</f>
        <v>0</v>
      </c>
      <c r="N117" s="19">
        <f ca="1">'2ER PERIODOADMINISTRACION'!L23</f>
        <v>0</v>
      </c>
      <c r="O117" s="19">
        <f ca="1">'2ER PERIODOADMINISTRACION'!M23</f>
        <v>0</v>
      </c>
      <c r="P117" s="19">
        <f ca="1">'2ER PERIODOADMINISTRACION'!N23</f>
        <v>0</v>
      </c>
      <c r="Q117" s="19">
        <f ca="1">'2ER PERIODOADMINISTRACION'!O23</f>
        <v>0</v>
      </c>
      <c r="R117" s="19">
        <f ca="1">'2ER PERIODOADMINISTRACION'!P23</f>
        <v>0</v>
      </c>
      <c r="S117" s="19">
        <f ca="1">'2ER PERIODOADMINISTRACION'!Q23</f>
        <v>0</v>
      </c>
      <c r="T117" s="19">
        <f ca="1">'2ER PERIODOADMINISTRACION'!R23</f>
        <v>0</v>
      </c>
      <c r="U117" s="21">
        <f ca="1">'2ER PERIODOADMINISTRACION'!S23</f>
        <v>11</v>
      </c>
    </row>
    <row r="118" spans="1:21" ht="39.75" customHeight="1">
      <c r="A118" s="53"/>
      <c r="B118" s="51"/>
      <c r="C118" s="7" t="s">
        <v>164</v>
      </c>
      <c r="D118" s="32">
        <v>3</v>
      </c>
      <c r="E118" s="16" t="str">
        <f ca="1">'1ER PERIODOADMINISTRACION'!C24</f>
        <v>TELEFONOS MOVILES ADQUIRIDOS</v>
      </c>
      <c r="F118" s="16" t="str">
        <f ca="1">'1ER PERIODOADMINISTRACION'!D24</f>
        <v>ASCENDENTE</v>
      </c>
      <c r="G118" s="16" t="str">
        <f ca="1">'1ER PERIODOADMINISTRACION'!E24</f>
        <v>BITACORA OPERATIVA</v>
      </c>
      <c r="H118" s="18">
        <f ca="1">'2ER PERIODOADMINISTRACION'!F24</f>
        <v>0</v>
      </c>
      <c r="I118" s="19">
        <f ca="1">'2ER PERIODOADMINISTRACION'!G24</f>
        <v>5</v>
      </c>
      <c r="J118" s="19">
        <f ca="1">'2ER PERIODOADMINISTRACION'!H24</f>
        <v>0</v>
      </c>
      <c r="K118" s="19">
        <f ca="1">'2ER PERIODOADMINISTRACION'!I24</f>
        <v>0</v>
      </c>
      <c r="L118" s="19">
        <f ca="1">'2ER PERIODOADMINISTRACION'!J24</f>
        <v>0</v>
      </c>
      <c r="M118" s="19">
        <f ca="1">'2ER PERIODOADMINISTRACION'!K24</f>
        <v>0</v>
      </c>
      <c r="N118" s="19">
        <f ca="1">'2ER PERIODOADMINISTRACION'!L24</f>
        <v>0</v>
      </c>
      <c r="O118" s="19">
        <f ca="1">'2ER PERIODOADMINISTRACION'!M24</f>
        <v>0</v>
      </c>
      <c r="P118" s="19">
        <f ca="1">'2ER PERIODOADMINISTRACION'!N24</f>
        <v>0</v>
      </c>
      <c r="Q118" s="19">
        <f ca="1">'2ER PERIODOADMINISTRACION'!O24</f>
        <v>0</v>
      </c>
      <c r="R118" s="19">
        <f ca="1">'2ER PERIODOADMINISTRACION'!P24</f>
        <v>0</v>
      </c>
      <c r="S118" s="19">
        <f ca="1">'2ER PERIODOADMINISTRACION'!Q24</f>
        <v>0</v>
      </c>
      <c r="T118" s="19">
        <f ca="1">'2ER PERIODOADMINISTRACION'!R24</f>
        <v>0</v>
      </c>
      <c r="U118" s="21">
        <f ca="1">'2ER PERIODOADMINISTRACION'!S24</f>
        <v>5</v>
      </c>
    </row>
    <row r="119" spans="1:21" ht="39.75" customHeight="1">
      <c r="A119" s="53"/>
      <c r="B119" s="55" t="s">
        <v>165</v>
      </c>
      <c r="C119" s="7" t="s">
        <v>166</v>
      </c>
      <c r="D119" s="32">
        <v>8366</v>
      </c>
      <c r="E119" s="16" t="str">
        <f ca="1">'1ER PERIODOADMINISTRACION'!C25</f>
        <v>PLANTILLA DE PERSONAL</v>
      </c>
      <c r="F119" s="16" t="str">
        <f ca="1">'1ER PERIODOADMINISTRACION'!D25</f>
        <v>DECENDENTE</v>
      </c>
      <c r="G119" s="16" t="str">
        <f ca="1">'1ER PERIODOADMINISTRACION'!E25</f>
        <v>BITACORA OPERATIVA</v>
      </c>
      <c r="H119" s="18">
        <f ca="1">'2ER PERIODOADMINISTRACION'!F25</f>
        <v>0</v>
      </c>
      <c r="I119" s="19">
        <f ca="1">'2ER PERIODOADMINISTRACION'!G25</f>
        <v>0</v>
      </c>
      <c r="J119" s="19">
        <f ca="1">'2ER PERIODOADMINISTRACION'!H25</f>
        <v>0</v>
      </c>
      <c r="K119" s="19">
        <f ca="1">'2ER PERIODOADMINISTRACION'!I25</f>
        <v>0</v>
      </c>
      <c r="L119" s="19">
        <f ca="1">'2ER PERIODOADMINISTRACION'!J25</f>
        <v>0</v>
      </c>
      <c r="M119" s="19">
        <f ca="1">'2ER PERIODOADMINISTRACION'!K25</f>
        <v>0</v>
      </c>
      <c r="N119" s="19">
        <f ca="1">'2ER PERIODOADMINISTRACION'!L25</f>
        <v>0</v>
      </c>
      <c r="O119" s="19">
        <f ca="1">'2ER PERIODOADMINISTRACION'!M25</f>
        <v>0</v>
      </c>
      <c r="P119" s="19">
        <f ca="1">'2ER PERIODOADMINISTRACION'!N25</f>
        <v>0</v>
      </c>
      <c r="Q119" s="19">
        <f ca="1">'2ER PERIODOADMINISTRACION'!O25</f>
        <v>0</v>
      </c>
      <c r="R119" s="19">
        <f ca="1">'2ER PERIODOADMINISTRACION'!P25</f>
        <v>0</v>
      </c>
      <c r="S119" s="19">
        <f ca="1">'2ER PERIODOADMINISTRACION'!Q25</f>
        <v>0</v>
      </c>
      <c r="T119" s="19">
        <f ca="1">'2ER PERIODOADMINISTRACION'!R25</f>
        <v>0</v>
      </c>
      <c r="U119" s="21">
        <f ca="1">'2ER PERIODOADMINISTRACION'!S25</f>
        <v>0</v>
      </c>
    </row>
    <row r="120" spans="1:21" ht="39.75" customHeight="1">
      <c r="A120" s="53"/>
      <c r="B120" s="53"/>
      <c r="C120" s="7" t="s">
        <v>167</v>
      </c>
      <c r="D120" s="32">
        <v>5264</v>
      </c>
      <c r="E120" s="16" t="str">
        <f ca="1">'1ER PERIODOADMINISTRACION'!C26</f>
        <v>HOMBRES EN LA PLANTILLA</v>
      </c>
      <c r="F120" s="16" t="str">
        <f ca="1">'1ER PERIODOADMINISTRACION'!D26</f>
        <v>DECENDENTE</v>
      </c>
      <c r="G120" s="16" t="str">
        <f ca="1">'1ER PERIODOADMINISTRACION'!E26</f>
        <v>BITACORA OPERATIVA</v>
      </c>
      <c r="H120" s="18">
        <f ca="1">'2ER PERIODOADMINISTRACION'!F26</f>
        <v>0</v>
      </c>
      <c r="I120" s="19">
        <f ca="1">'2ER PERIODOADMINISTRACION'!G26</f>
        <v>0</v>
      </c>
      <c r="J120" s="19">
        <f ca="1">'2ER PERIODOADMINISTRACION'!H26</f>
        <v>0</v>
      </c>
      <c r="K120" s="19">
        <f ca="1">'2ER PERIODOADMINISTRACION'!I26</f>
        <v>0</v>
      </c>
      <c r="L120" s="19">
        <f ca="1">'2ER PERIODOADMINISTRACION'!J26</f>
        <v>0</v>
      </c>
      <c r="M120" s="19">
        <f ca="1">'2ER PERIODOADMINISTRACION'!K26</f>
        <v>0</v>
      </c>
      <c r="N120" s="19">
        <f ca="1">'2ER PERIODOADMINISTRACION'!L26</f>
        <v>0</v>
      </c>
      <c r="O120" s="19">
        <f ca="1">'2ER PERIODOADMINISTRACION'!M26</f>
        <v>0</v>
      </c>
      <c r="P120" s="19">
        <f ca="1">'2ER PERIODOADMINISTRACION'!N26</f>
        <v>0</v>
      </c>
      <c r="Q120" s="19">
        <f ca="1">'2ER PERIODOADMINISTRACION'!O26</f>
        <v>0</v>
      </c>
      <c r="R120" s="19">
        <f ca="1">'2ER PERIODOADMINISTRACION'!P26</f>
        <v>0</v>
      </c>
      <c r="S120" s="19">
        <f ca="1">'2ER PERIODOADMINISTRACION'!Q26</f>
        <v>0</v>
      </c>
      <c r="T120" s="19">
        <f ca="1">'2ER PERIODOADMINISTRACION'!R26</f>
        <v>0</v>
      </c>
      <c r="U120" s="21">
        <f ca="1">'2ER PERIODOADMINISTRACION'!S26</f>
        <v>0</v>
      </c>
    </row>
    <row r="121" spans="1:21" ht="39.75" customHeight="1">
      <c r="A121" s="53"/>
      <c r="B121" s="53"/>
      <c r="C121" s="7" t="s">
        <v>168</v>
      </c>
      <c r="D121" s="32">
        <v>2591</v>
      </c>
      <c r="E121" s="16" t="str">
        <f ca="1">'1ER PERIODOADMINISTRACION'!C27</f>
        <v>MUJERES EN LA PLANTILLA</v>
      </c>
      <c r="F121" s="16" t="str">
        <f ca="1">'1ER PERIODOADMINISTRACION'!D27</f>
        <v>ASCENDENTE</v>
      </c>
      <c r="G121" s="16" t="str">
        <f ca="1">'1ER PERIODOADMINISTRACION'!E27</f>
        <v>BITACORA OPERATIVA</v>
      </c>
      <c r="H121" s="18">
        <f ca="1">'2ER PERIODOADMINISTRACION'!F27</f>
        <v>0</v>
      </c>
      <c r="I121" s="19">
        <f ca="1">'2ER PERIODOADMINISTRACION'!G27</f>
        <v>0</v>
      </c>
      <c r="J121" s="19">
        <f ca="1">'2ER PERIODOADMINISTRACION'!H27</f>
        <v>0</v>
      </c>
      <c r="K121" s="19">
        <f ca="1">'2ER PERIODOADMINISTRACION'!I27</f>
        <v>0</v>
      </c>
      <c r="L121" s="19">
        <f ca="1">'2ER PERIODOADMINISTRACION'!J27</f>
        <v>0</v>
      </c>
      <c r="M121" s="19">
        <f ca="1">'2ER PERIODOADMINISTRACION'!K27</f>
        <v>0</v>
      </c>
      <c r="N121" s="19">
        <f ca="1">'2ER PERIODOADMINISTRACION'!L27</f>
        <v>0</v>
      </c>
      <c r="O121" s="19">
        <f ca="1">'2ER PERIODOADMINISTRACION'!M27</f>
        <v>0</v>
      </c>
      <c r="P121" s="19">
        <f ca="1">'2ER PERIODOADMINISTRACION'!N27</f>
        <v>0</v>
      </c>
      <c r="Q121" s="19">
        <f ca="1">'2ER PERIODOADMINISTRACION'!O27</f>
        <v>0</v>
      </c>
      <c r="R121" s="19">
        <f ca="1">'2ER PERIODOADMINISTRACION'!P27</f>
        <v>0</v>
      </c>
      <c r="S121" s="19">
        <f ca="1">'2ER PERIODOADMINISTRACION'!Q27</f>
        <v>0</v>
      </c>
      <c r="T121" s="19">
        <f ca="1">'2ER PERIODOADMINISTRACION'!R27</f>
        <v>0</v>
      </c>
      <c r="U121" s="21">
        <f ca="1">'2ER PERIODOADMINISTRACION'!S27</f>
        <v>0</v>
      </c>
    </row>
    <row r="122" spans="1:21" ht="39.75" customHeight="1">
      <c r="A122" s="53"/>
      <c r="B122" s="53"/>
      <c r="C122" s="7" t="s">
        <v>169</v>
      </c>
      <c r="D122" s="32">
        <v>421</v>
      </c>
      <c r="E122" s="16" t="str">
        <f ca="1">'1ER PERIODOADMINISTRACION'!C28</f>
        <v>PERSONAL DADO DE ALTA</v>
      </c>
      <c r="F122" s="16" t="str">
        <f ca="1">'1ER PERIODOADMINISTRACION'!D28</f>
        <v>ASCENDENTE</v>
      </c>
      <c r="G122" s="16" t="str">
        <f ca="1">'1ER PERIODOADMINISTRACION'!E28</f>
        <v>BITACORA OPERATIVA</v>
      </c>
      <c r="H122" s="18">
        <f ca="1">'2ER PERIODOADMINISTRACION'!F28</f>
        <v>0</v>
      </c>
      <c r="I122" s="19">
        <f ca="1">'2ER PERIODOADMINISTRACION'!G28</f>
        <v>0</v>
      </c>
      <c r="J122" s="19">
        <f ca="1">'2ER PERIODOADMINISTRACION'!H28</f>
        <v>0</v>
      </c>
      <c r="K122" s="19">
        <f ca="1">'2ER PERIODOADMINISTRACION'!I28</f>
        <v>0</v>
      </c>
      <c r="L122" s="19">
        <f ca="1">'2ER PERIODOADMINISTRACION'!J28</f>
        <v>0</v>
      </c>
      <c r="M122" s="19">
        <f ca="1">'2ER PERIODOADMINISTRACION'!K28</f>
        <v>0</v>
      </c>
      <c r="N122" s="19">
        <f ca="1">'2ER PERIODOADMINISTRACION'!L28</f>
        <v>0</v>
      </c>
      <c r="O122" s="19">
        <f ca="1">'2ER PERIODOADMINISTRACION'!M28</f>
        <v>0</v>
      </c>
      <c r="P122" s="19">
        <f ca="1">'2ER PERIODOADMINISTRACION'!N28</f>
        <v>0</v>
      </c>
      <c r="Q122" s="19">
        <f ca="1">'2ER PERIODOADMINISTRACION'!O28</f>
        <v>0</v>
      </c>
      <c r="R122" s="19">
        <f ca="1">'2ER PERIODOADMINISTRACION'!P28</f>
        <v>0</v>
      </c>
      <c r="S122" s="19">
        <f ca="1">'2ER PERIODOADMINISTRACION'!Q28</f>
        <v>0</v>
      </c>
      <c r="T122" s="19">
        <f ca="1">'2ER PERIODOADMINISTRACION'!R28</f>
        <v>0</v>
      </c>
      <c r="U122" s="21">
        <f ca="1">'2ER PERIODOADMINISTRACION'!S28</f>
        <v>0</v>
      </c>
    </row>
    <row r="123" spans="1:21" ht="39.75" customHeight="1">
      <c r="A123" s="53"/>
      <c r="B123" s="53"/>
      <c r="C123" s="7" t="s">
        <v>170</v>
      </c>
      <c r="D123" s="32">
        <v>194</v>
      </c>
      <c r="E123" s="16" t="str">
        <f ca="1">'1ER PERIODOADMINISTRACION'!C29</f>
        <v>PERSONAL DADO DE BAJA</v>
      </c>
      <c r="F123" s="16" t="str">
        <f ca="1">'1ER PERIODOADMINISTRACION'!D29</f>
        <v>ASCENDENTE</v>
      </c>
      <c r="G123" s="16" t="str">
        <f ca="1">'1ER PERIODOADMINISTRACION'!E29</f>
        <v>BITACORA OPERATIVA</v>
      </c>
      <c r="H123" s="18">
        <f ca="1">'2ER PERIODOADMINISTRACION'!F29</f>
        <v>0</v>
      </c>
      <c r="I123" s="19">
        <f ca="1">'2ER PERIODOADMINISTRACION'!G29</f>
        <v>0</v>
      </c>
      <c r="J123" s="19">
        <f ca="1">'2ER PERIODOADMINISTRACION'!H29</f>
        <v>0</v>
      </c>
      <c r="K123" s="19">
        <f ca="1">'2ER PERIODOADMINISTRACION'!I29</f>
        <v>0</v>
      </c>
      <c r="L123" s="19">
        <f ca="1">'2ER PERIODOADMINISTRACION'!J29</f>
        <v>0</v>
      </c>
      <c r="M123" s="19">
        <f ca="1">'2ER PERIODOADMINISTRACION'!K29</f>
        <v>0</v>
      </c>
      <c r="N123" s="19">
        <f ca="1">'2ER PERIODOADMINISTRACION'!L29</f>
        <v>0</v>
      </c>
      <c r="O123" s="19">
        <f ca="1">'2ER PERIODOADMINISTRACION'!M29</f>
        <v>0</v>
      </c>
      <c r="P123" s="19">
        <f ca="1">'2ER PERIODOADMINISTRACION'!N29</f>
        <v>0</v>
      </c>
      <c r="Q123" s="19">
        <f ca="1">'2ER PERIODOADMINISTRACION'!O29</f>
        <v>0</v>
      </c>
      <c r="R123" s="19">
        <f ca="1">'2ER PERIODOADMINISTRACION'!P29</f>
        <v>0</v>
      </c>
      <c r="S123" s="19">
        <f ca="1">'2ER PERIODOADMINISTRACION'!Q29</f>
        <v>0</v>
      </c>
      <c r="T123" s="19">
        <f ca="1">'2ER PERIODOADMINISTRACION'!R29</f>
        <v>0</v>
      </c>
      <c r="U123" s="21">
        <f ca="1">'2ER PERIODOADMINISTRACION'!S29</f>
        <v>0</v>
      </c>
    </row>
    <row r="124" spans="1:21" ht="39.75" customHeight="1">
      <c r="A124" s="53"/>
      <c r="B124" s="53"/>
      <c r="C124" s="7" t="s">
        <v>171</v>
      </c>
      <c r="D124" s="32">
        <v>284</v>
      </c>
      <c r="E124" s="16" t="str">
        <f ca="1">'1ER PERIODOADMINISTRACION'!C30</f>
        <v>FALTAS REGISTRADAS</v>
      </c>
      <c r="F124" s="16" t="str">
        <f ca="1">'1ER PERIODOADMINISTRACION'!D30</f>
        <v>DECENDENTE</v>
      </c>
      <c r="G124" s="16" t="str">
        <f ca="1">'1ER PERIODOADMINISTRACION'!E30</f>
        <v>BITACORA OPERATIVA</v>
      </c>
      <c r="H124" s="18">
        <f ca="1">'2ER PERIODOADMINISTRACION'!F30</f>
        <v>0</v>
      </c>
      <c r="I124" s="19">
        <f ca="1">'2ER PERIODOADMINISTRACION'!G30</f>
        <v>0</v>
      </c>
      <c r="J124" s="19">
        <f ca="1">'2ER PERIODOADMINISTRACION'!H30</f>
        <v>0</v>
      </c>
      <c r="K124" s="19">
        <f ca="1">'2ER PERIODOADMINISTRACION'!I30</f>
        <v>0</v>
      </c>
      <c r="L124" s="19">
        <f ca="1">'2ER PERIODOADMINISTRACION'!J30</f>
        <v>0</v>
      </c>
      <c r="M124" s="19">
        <f ca="1">'2ER PERIODOADMINISTRACION'!K30</f>
        <v>0</v>
      </c>
      <c r="N124" s="19">
        <f ca="1">'2ER PERIODOADMINISTRACION'!L30</f>
        <v>0</v>
      </c>
      <c r="O124" s="19">
        <f ca="1">'2ER PERIODOADMINISTRACION'!M30</f>
        <v>0</v>
      </c>
      <c r="P124" s="19">
        <f ca="1">'2ER PERIODOADMINISTRACION'!N30</f>
        <v>0</v>
      </c>
      <c r="Q124" s="19">
        <f ca="1">'2ER PERIODOADMINISTRACION'!O30</f>
        <v>0</v>
      </c>
      <c r="R124" s="19">
        <f ca="1">'2ER PERIODOADMINISTRACION'!P30</f>
        <v>0</v>
      </c>
      <c r="S124" s="19">
        <f ca="1">'2ER PERIODOADMINISTRACION'!Q30</f>
        <v>0</v>
      </c>
      <c r="T124" s="19">
        <f ca="1">'2ER PERIODOADMINISTRACION'!R30</f>
        <v>0</v>
      </c>
      <c r="U124" s="21">
        <f ca="1">'2ER PERIODOADMINISTRACION'!S30</f>
        <v>0</v>
      </c>
    </row>
    <row r="125" spans="1:21" ht="39.75" customHeight="1">
      <c r="A125" s="53"/>
      <c r="B125" s="53"/>
      <c r="C125" s="7" t="s">
        <v>172</v>
      </c>
      <c r="D125" s="32">
        <v>206</v>
      </c>
      <c r="E125" s="16" t="str">
        <f ca="1">'1ER PERIODOADMINISTRACION'!C31</f>
        <v>PLANTILLA DE PERSONAL</v>
      </c>
      <c r="F125" s="16" t="str">
        <f ca="1">'1ER PERIODOADMINISTRACION'!D31</f>
        <v>ASCENDENTE</v>
      </c>
      <c r="G125" s="16" t="str">
        <f ca="1">'1ER PERIODOADMINISTRACION'!E31</f>
        <v>BITACORA OPERATIVA</v>
      </c>
      <c r="H125" s="18">
        <f ca="1">'2ER PERIODOADMINISTRACION'!F31</f>
        <v>0</v>
      </c>
      <c r="I125" s="19">
        <f ca="1">'2ER PERIODOADMINISTRACION'!G31</f>
        <v>0</v>
      </c>
      <c r="J125" s="19">
        <f ca="1">'2ER PERIODOADMINISTRACION'!H31</f>
        <v>0</v>
      </c>
      <c r="K125" s="19">
        <f ca="1">'2ER PERIODOADMINISTRACION'!I31</f>
        <v>0</v>
      </c>
      <c r="L125" s="19">
        <f ca="1">'2ER PERIODOADMINISTRACION'!J31</f>
        <v>0</v>
      </c>
      <c r="M125" s="19">
        <f ca="1">'2ER PERIODOADMINISTRACION'!K31</f>
        <v>0</v>
      </c>
      <c r="N125" s="19">
        <f ca="1">'2ER PERIODOADMINISTRACION'!L31</f>
        <v>0</v>
      </c>
      <c r="O125" s="19">
        <f ca="1">'2ER PERIODOADMINISTRACION'!M31</f>
        <v>0</v>
      </c>
      <c r="P125" s="19">
        <f ca="1">'2ER PERIODOADMINISTRACION'!N31</f>
        <v>0</v>
      </c>
      <c r="Q125" s="19">
        <f ca="1">'2ER PERIODOADMINISTRACION'!O31</f>
        <v>0</v>
      </c>
      <c r="R125" s="19">
        <f ca="1">'2ER PERIODOADMINISTRACION'!P31</f>
        <v>0</v>
      </c>
      <c r="S125" s="19">
        <f ca="1">'2ER PERIODOADMINISTRACION'!Q31</f>
        <v>0</v>
      </c>
      <c r="T125" s="19">
        <f ca="1">'2ER PERIODOADMINISTRACION'!R31</f>
        <v>0</v>
      </c>
      <c r="U125" s="21">
        <f ca="1">'2ER PERIODOADMINISTRACION'!S31</f>
        <v>0</v>
      </c>
    </row>
    <row r="126" spans="1:21" ht="39.75" customHeight="1">
      <c r="A126" s="53"/>
      <c r="B126" s="53"/>
      <c r="C126" s="7" t="s">
        <v>167</v>
      </c>
      <c r="D126" s="32">
        <v>55</v>
      </c>
      <c r="E126" s="16" t="str">
        <f ca="1">'1ER PERIODOADMINISTRACION'!C32</f>
        <v>PLANTILLA DE PERSONAL</v>
      </c>
      <c r="F126" s="16" t="str">
        <f ca="1">'1ER PERIODOADMINISTRACION'!D32</f>
        <v>ASCENDENTE</v>
      </c>
      <c r="G126" s="16" t="str">
        <f ca="1">'1ER PERIODOADMINISTRACION'!E32</f>
        <v>BITACORA OPERATIVA</v>
      </c>
      <c r="H126" s="18">
        <f ca="1">'2ER PERIODOADMINISTRACION'!F32</f>
        <v>0</v>
      </c>
      <c r="I126" s="19">
        <f ca="1">'2ER PERIODOADMINISTRACION'!G32</f>
        <v>0</v>
      </c>
      <c r="J126" s="19">
        <f ca="1">'2ER PERIODOADMINISTRACION'!H32</f>
        <v>0</v>
      </c>
      <c r="K126" s="19">
        <f ca="1">'2ER PERIODOADMINISTRACION'!I32</f>
        <v>0</v>
      </c>
      <c r="L126" s="19">
        <f ca="1">'2ER PERIODOADMINISTRACION'!J32</f>
        <v>0</v>
      </c>
      <c r="M126" s="19">
        <f ca="1">'2ER PERIODOADMINISTRACION'!K32</f>
        <v>0</v>
      </c>
      <c r="N126" s="19">
        <f ca="1">'2ER PERIODOADMINISTRACION'!L32</f>
        <v>0</v>
      </c>
      <c r="O126" s="19">
        <f ca="1">'2ER PERIODOADMINISTRACION'!M32</f>
        <v>0</v>
      </c>
      <c r="P126" s="19">
        <f ca="1">'2ER PERIODOADMINISTRACION'!N32</f>
        <v>0</v>
      </c>
      <c r="Q126" s="19">
        <f ca="1">'2ER PERIODOADMINISTRACION'!O32</f>
        <v>0</v>
      </c>
      <c r="R126" s="19">
        <f ca="1">'2ER PERIODOADMINISTRACION'!P32</f>
        <v>0</v>
      </c>
      <c r="S126" s="19">
        <f ca="1">'2ER PERIODOADMINISTRACION'!Q32</f>
        <v>0</v>
      </c>
      <c r="T126" s="19">
        <f ca="1">'2ER PERIODOADMINISTRACION'!R32</f>
        <v>0</v>
      </c>
      <c r="U126" s="21">
        <f ca="1">'2ER PERIODOADMINISTRACION'!S32</f>
        <v>0</v>
      </c>
    </row>
    <row r="127" spans="1:21" ht="39.75" customHeight="1">
      <c r="A127" s="53"/>
      <c r="B127" s="53"/>
      <c r="C127" s="7" t="s">
        <v>168</v>
      </c>
      <c r="D127" s="32">
        <v>1151</v>
      </c>
      <c r="E127" s="16" t="str">
        <f ca="1">'1ER PERIODOADMINISTRACION'!C33</f>
        <v>PLANTILLA DE PERSONAL</v>
      </c>
      <c r="F127" s="16" t="str">
        <f ca="1">'1ER PERIODOADMINISTRACION'!D33</f>
        <v>ASCENDENTE</v>
      </c>
      <c r="G127" s="16" t="str">
        <f ca="1">'1ER PERIODOADMINISTRACION'!E33</f>
        <v>BITACORA OPERATIVA</v>
      </c>
      <c r="H127" s="18">
        <f ca="1">'2ER PERIODOADMINISTRACION'!F33</f>
        <v>0</v>
      </c>
      <c r="I127" s="19">
        <f ca="1">'2ER PERIODOADMINISTRACION'!G33</f>
        <v>0</v>
      </c>
      <c r="J127" s="19">
        <f ca="1">'2ER PERIODOADMINISTRACION'!H33</f>
        <v>0</v>
      </c>
      <c r="K127" s="19">
        <f ca="1">'2ER PERIODOADMINISTRACION'!I33</f>
        <v>0</v>
      </c>
      <c r="L127" s="19">
        <f ca="1">'2ER PERIODOADMINISTRACION'!J33</f>
        <v>0</v>
      </c>
      <c r="M127" s="19">
        <f ca="1">'2ER PERIODOADMINISTRACION'!K33</f>
        <v>0</v>
      </c>
      <c r="N127" s="19">
        <f ca="1">'2ER PERIODOADMINISTRACION'!L33</f>
        <v>0</v>
      </c>
      <c r="O127" s="19">
        <f ca="1">'2ER PERIODOADMINISTRACION'!M33</f>
        <v>0</v>
      </c>
      <c r="P127" s="19">
        <f ca="1">'2ER PERIODOADMINISTRACION'!N33</f>
        <v>0</v>
      </c>
      <c r="Q127" s="19">
        <f ca="1">'2ER PERIODOADMINISTRACION'!O33</f>
        <v>0</v>
      </c>
      <c r="R127" s="19">
        <f ca="1">'2ER PERIODOADMINISTRACION'!P33</f>
        <v>0</v>
      </c>
      <c r="S127" s="19">
        <f ca="1">'2ER PERIODOADMINISTRACION'!Q33</f>
        <v>0</v>
      </c>
      <c r="T127" s="19">
        <f ca="1">'2ER PERIODOADMINISTRACION'!R33</f>
        <v>0</v>
      </c>
      <c r="U127" s="21">
        <f ca="1">'2ER PERIODOADMINISTRACION'!S33</f>
        <v>0</v>
      </c>
    </row>
    <row r="128" spans="1:21" ht="39.75" customHeight="1">
      <c r="A128" s="53"/>
      <c r="B128" s="53"/>
      <c r="C128" s="7" t="s">
        <v>173</v>
      </c>
      <c r="D128" s="32">
        <v>698</v>
      </c>
      <c r="E128" s="16" t="str">
        <f ca="1">'1ER PERIODOADMINISTRACION'!C34</f>
        <v>PLANTILLA DE PERSONAL</v>
      </c>
      <c r="F128" s="16" t="str">
        <f ca="1">'1ER PERIODOADMINISTRACION'!D34</f>
        <v>ASCENDENTE</v>
      </c>
      <c r="G128" s="16" t="str">
        <f ca="1">'1ER PERIODOADMINISTRACION'!E34</f>
        <v>BITACORA OPERATIVA</v>
      </c>
      <c r="H128" s="18">
        <f ca="1">'2ER PERIODOADMINISTRACION'!F34</f>
        <v>0</v>
      </c>
      <c r="I128" s="19">
        <f ca="1">'2ER PERIODOADMINISTRACION'!G34</f>
        <v>0</v>
      </c>
      <c r="J128" s="19">
        <f ca="1">'2ER PERIODOADMINISTRACION'!H34</f>
        <v>0</v>
      </c>
      <c r="K128" s="19">
        <f ca="1">'2ER PERIODOADMINISTRACION'!I34</f>
        <v>0</v>
      </c>
      <c r="L128" s="19">
        <f ca="1">'2ER PERIODOADMINISTRACION'!J34</f>
        <v>0</v>
      </c>
      <c r="M128" s="19">
        <f ca="1">'2ER PERIODOADMINISTRACION'!K34</f>
        <v>0</v>
      </c>
      <c r="N128" s="19">
        <f ca="1">'2ER PERIODOADMINISTRACION'!L34</f>
        <v>0</v>
      </c>
      <c r="O128" s="19">
        <f ca="1">'2ER PERIODOADMINISTRACION'!M34</f>
        <v>0</v>
      </c>
      <c r="P128" s="19">
        <f ca="1">'2ER PERIODOADMINISTRACION'!N34</f>
        <v>0</v>
      </c>
      <c r="Q128" s="19">
        <f ca="1">'2ER PERIODOADMINISTRACION'!O34</f>
        <v>0</v>
      </c>
      <c r="R128" s="19">
        <f ca="1">'2ER PERIODOADMINISTRACION'!P34</f>
        <v>0</v>
      </c>
      <c r="S128" s="19">
        <f ca="1">'2ER PERIODOADMINISTRACION'!Q34</f>
        <v>0</v>
      </c>
      <c r="T128" s="19">
        <f ca="1">'2ER PERIODOADMINISTRACION'!R34</f>
        <v>0</v>
      </c>
      <c r="U128" s="21">
        <f ca="1">'2ER PERIODOADMINISTRACION'!S34</f>
        <v>0</v>
      </c>
    </row>
    <row r="129" spans="1:21" ht="39.75" customHeight="1">
      <c r="A129" s="53"/>
      <c r="B129" s="53"/>
      <c r="C129" s="7" t="s">
        <v>167</v>
      </c>
      <c r="D129" s="32">
        <v>453</v>
      </c>
      <c r="E129" s="16" t="str">
        <f ca="1">'1ER PERIODOADMINISTRACION'!C35</f>
        <v>PLANTILLA DE PERSONAL</v>
      </c>
      <c r="F129" s="16" t="str">
        <f ca="1">'1ER PERIODOADMINISTRACION'!D35</f>
        <v>ASCENDENTE</v>
      </c>
      <c r="G129" s="16" t="str">
        <f ca="1">'1ER PERIODOADMINISTRACION'!E35</f>
        <v>BITACORA OPERATIVA</v>
      </c>
      <c r="H129" s="18">
        <f ca="1">'2ER PERIODOADMINISTRACION'!F35</f>
        <v>0</v>
      </c>
      <c r="I129" s="19">
        <f ca="1">'2ER PERIODOADMINISTRACION'!G35</f>
        <v>0</v>
      </c>
      <c r="J129" s="19">
        <f ca="1">'2ER PERIODOADMINISTRACION'!H35</f>
        <v>0</v>
      </c>
      <c r="K129" s="19">
        <f ca="1">'2ER PERIODOADMINISTRACION'!I35</f>
        <v>0</v>
      </c>
      <c r="L129" s="19">
        <f ca="1">'2ER PERIODOADMINISTRACION'!J35</f>
        <v>0</v>
      </c>
      <c r="M129" s="19">
        <f ca="1">'2ER PERIODOADMINISTRACION'!K35</f>
        <v>0</v>
      </c>
      <c r="N129" s="19">
        <f ca="1">'2ER PERIODOADMINISTRACION'!L35</f>
        <v>0</v>
      </c>
      <c r="O129" s="19">
        <f ca="1">'2ER PERIODOADMINISTRACION'!M35</f>
        <v>0</v>
      </c>
      <c r="P129" s="19">
        <f ca="1">'2ER PERIODOADMINISTRACION'!N35</f>
        <v>0</v>
      </c>
      <c r="Q129" s="19">
        <f ca="1">'2ER PERIODOADMINISTRACION'!O35</f>
        <v>0</v>
      </c>
      <c r="R129" s="19">
        <f ca="1">'2ER PERIODOADMINISTRACION'!P35</f>
        <v>0</v>
      </c>
      <c r="S129" s="19">
        <f ca="1">'2ER PERIODOADMINISTRACION'!Q35</f>
        <v>0</v>
      </c>
      <c r="T129" s="19">
        <f ca="1">'2ER PERIODOADMINISTRACION'!R35</f>
        <v>0</v>
      </c>
      <c r="U129" s="21">
        <f ca="1">'2ER PERIODOADMINISTRACION'!S35</f>
        <v>0</v>
      </c>
    </row>
    <row r="130" spans="1:21" ht="39.75" customHeight="1">
      <c r="A130" s="53"/>
      <c r="B130" s="51"/>
      <c r="C130" s="7" t="s">
        <v>168</v>
      </c>
      <c r="D130" s="32">
        <v>3511</v>
      </c>
      <c r="E130" s="16" t="str">
        <f ca="1">'1ER PERIODOADMINISTRACION'!C36</f>
        <v>PLANTILLA DE PERSONAL</v>
      </c>
      <c r="F130" s="16" t="str">
        <f ca="1">'1ER PERIODOADMINISTRACION'!D36</f>
        <v>ASCENDENTE</v>
      </c>
      <c r="G130" s="16" t="str">
        <f ca="1">'1ER PERIODOADMINISTRACION'!E36</f>
        <v>BITACORA OPERATIVA</v>
      </c>
      <c r="H130" s="18">
        <f ca="1">'2ER PERIODOADMINISTRACION'!F36</f>
        <v>0</v>
      </c>
      <c r="I130" s="19">
        <f ca="1">'2ER PERIODOADMINISTRACION'!G36</f>
        <v>0</v>
      </c>
      <c r="J130" s="19">
        <f ca="1">'2ER PERIODOADMINISTRACION'!H36</f>
        <v>0</v>
      </c>
      <c r="K130" s="19">
        <f ca="1">'2ER PERIODOADMINISTRACION'!I36</f>
        <v>0</v>
      </c>
      <c r="L130" s="19">
        <f ca="1">'2ER PERIODOADMINISTRACION'!J36</f>
        <v>0</v>
      </c>
      <c r="M130" s="19">
        <f ca="1">'2ER PERIODOADMINISTRACION'!K36</f>
        <v>0</v>
      </c>
      <c r="N130" s="19">
        <f ca="1">'2ER PERIODOADMINISTRACION'!L36</f>
        <v>0</v>
      </c>
      <c r="O130" s="19">
        <f ca="1">'2ER PERIODOADMINISTRACION'!M36</f>
        <v>0</v>
      </c>
      <c r="P130" s="19">
        <f ca="1">'2ER PERIODOADMINISTRACION'!N36</f>
        <v>0</v>
      </c>
      <c r="Q130" s="19">
        <f ca="1">'2ER PERIODOADMINISTRACION'!O36</f>
        <v>0</v>
      </c>
      <c r="R130" s="19">
        <f ca="1">'2ER PERIODOADMINISTRACION'!P36</f>
        <v>0</v>
      </c>
      <c r="S130" s="19">
        <f ca="1">'2ER PERIODOADMINISTRACION'!Q36</f>
        <v>0</v>
      </c>
      <c r="T130" s="19">
        <f ca="1">'2ER PERIODOADMINISTRACION'!R36</f>
        <v>0</v>
      </c>
      <c r="U130" s="21">
        <f ca="1">'2ER PERIODOADMINISTRACION'!S36</f>
        <v>0</v>
      </c>
    </row>
    <row r="131" spans="1:21" ht="39.75" customHeight="1">
      <c r="A131" s="53"/>
      <c r="B131" s="55" t="s">
        <v>174</v>
      </c>
      <c r="C131" s="7" t="s">
        <v>175</v>
      </c>
      <c r="D131" s="32">
        <v>3016</v>
      </c>
      <c r="E131" s="16" t="str">
        <f ca="1">'1ER PERIODOADMINISTRACION'!C37</f>
        <v>VEHICULOS QUE CARGARON COMBUSTIBLE</v>
      </c>
      <c r="F131" s="16" t="str">
        <f ca="1">'1ER PERIODOADMINISTRACION'!D37</f>
        <v>DECENDENTE</v>
      </c>
      <c r="G131" s="16" t="str">
        <f ca="1">'1ER PERIODOADMINISTRACION'!E37</f>
        <v>BITACORA OPERATIVA</v>
      </c>
      <c r="H131" s="18">
        <f ca="1">'2ER PERIODOADMINISTRACION'!F37</f>
        <v>0</v>
      </c>
      <c r="I131" s="19">
        <f ca="1">'2ER PERIODOADMINISTRACION'!G37</f>
        <v>0</v>
      </c>
      <c r="J131" s="19">
        <f ca="1">'2ER PERIODOADMINISTRACION'!H37</f>
        <v>0</v>
      </c>
      <c r="K131" s="19">
        <f ca="1">'2ER PERIODOADMINISTRACION'!I37</f>
        <v>0</v>
      </c>
      <c r="L131" s="19">
        <f ca="1">'2ER PERIODOADMINISTRACION'!J37</f>
        <v>0</v>
      </c>
      <c r="M131" s="19">
        <f ca="1">'2ER PERIODOADMINISTRACION'!K37</f>
        <v>0</v>
      </c>
      <c r="N131" s="19">
        <f ca="1">'2ER PERIODOADMINISTRACION'!L37</f>
        <v>0</v>
      </c>
      <c r="O131" s="19">
        <f ca="1">'2ER PERIODOADMINISTRACION'!M37</f>
        <v>0</v>
      </c>
      <c r="P131" s="19">
        <f ca="1">'2ER PERIODOADMINISTRACION'!N37</f>
        <v>0</v>
      </c>
      <c r="Q131" s="19">
        <f ca="1">'2ER PERIODOADMINISTRACION'!O37</f>
        <v>0</v>
      </c>
      <c r="R131" s="19">
        <f ca="1">'2ER PERIODOADMINISTRACION'!P37</f>
        <v>0</v>
      </c>
      <c r="S131" s="19">
        <f ca="1">'2ER PERIODOADMINISTRACION'!Q37</f>
        <v>0</v>
      </c>
      <c r="T131" s="19">
        <f ca="1">'2ER PERIODOADMINISTRACION'!R37</f>
        <v>0</v>
      </c>
      <c r="U131" s="21">
        <f ca="1">'2ER PERIODOADMINISTRACION'!S37</f>
        <v>0</v>
      </c>
    </row>
    <row r="132" spans="1:21" ht="39.75" customHeight="1">
      <c r="A132" s="53"/>
      <c r="B132" s="53"/>
      <c r="C132" s="7" t="s">
        <v>176</v>
      </c>
      <c r="D132" s="32">
        <v>32949</v>
      </c>
      <c r="E132" s="16" t="str">
        <f ca="1">'1ER PERIODOADMINISTRACION'!C38</f>
        <v>VEHICULOS OFICIALES QUE CARGARON GASOLINA</v>
      </c>
      <c r="F132" s="16" t="str">
        <f ca="1">'1ER PERIODOADMINISTRACION'!D38</f>
        <v>DECENDENTE</v>
      </c>
      <c r="G132" s="16" t="str">
        <f ca="1">'1ER PERIODOADMINISTRACION'!E38</f>
        <v>BITACORA OPERATIVA</v>
      </c>
      <c r="H132" s="18">
        <f ca="1">'2ER PERIODOADMINISTRACION'!F38</f>
        <v>0</v>
      </c>
      <c r="I132" s="19">
        <f ca="1">'2ER PERIODOADMINISTRACION'!G38</f>
        <v>0</v>
      </c>
      <c r="J132" s="19">
        <f ca="1">'2ER PERIODOADMINISTRACION'!H38</f>
        <v>0</v>
      </c>
      <c r="K132" s="19">
        <f ca="1">'2ER PERIODOADMINISTRACION'!I38</f>
        <v>0</v>
      </c>
      <c r="L132" s="19">
        <f ca="1">'2ER PERIODOADMINISTRACION'!J38</f>
        <v>0</v>
      </c>
      <c r="M132" s="19">
        <f ca="1">'2ER PERIODOADMINISTRACION'!K38</f>
        <v>0</v>
      </c>
      <c r="N132" s="19">
        <f ca="1">'2ER PERIODOADMINISTRACION'!L38</f>
        <v>0</v>
      </c>
      <c r="O132" s="19">
        <f ca="1">'2ER PERIODOADMINISTRACION'!M38</f>
        <v>0</v>
      </c>
      <c r="P132" s="19">
        <f ca="1">'2ER PERIODOADMINISTRACION'!N38</f>
        <v>0</v>
      </c>
      <c r="Q132" s="19">
        <f ca="1">'2ER PERIODOADMINISTRACION'!O38</f>
        <v>0</v>
      </c>
      <c r="R132" s="19">
        <f ca="1">'2ER PERIODOADMINISTRACION'!P38</f>
        <v>0</v>
      </c>
      <c r="S132" s="19">
        <f ca="1">'2ER PERIODOADMINISTRACION'!Q38</f>
        <v>0</v>
      </c>
      <c r="T132" s="19">
        <f ca="1">'2ER PERIODOADMINISTRACION'!R38</f>
        <v>0</v>
      </c>
      <c r="U132" s="21">
        <f ca="1">'2ER PERIODOADMINISTRACION'!S38</f>
        <v>0</v>
      </c>
    </row>
    <row r="133" spans="1:21" ht="39.75" customHeight="1">
      <c r="A133" s="53"/>
      <c r="B133" s="53"/>
      <c r="C133" s="7" t="s">
        <v>177</v>
      </c>
      <c r="D133" s="32">
        <v>806257</v>
      </c>
      <c r="E133" s="16" t="str">
        <f ca="1">'1ER PERIODOADMINISTRACION'!C39</f>
        <v>CARGAS POR VEHICULO</v>
      </c>
      <c r="F133" s="16" t="str">
        <f ca="1">'1ER PERIODOADMINISTRACION'!D39</f>
        <v>DECENDENTE</v>
      </c>
      <c r="G133" s="16" t="str">
        <f ca="1">'1ER PERIODOADMINISTRACION'!E39</f>
        <v>BITACORA OPERATIVA</v>
      </c>
      <c r="H133" s="18">
        <f ca="1">'2ER PERIODOADMINISTRACION'!F39</f>
        <v>0</v>
      </c>
      <c r="I133" s="19">
        <f ca="1">'2ER PERIODOADMINISTRACION'!G39</f>
        <v>0</v>
      </c>
      <c r="J133" s="19">
        <f ca="1">'2ER PERIODOADMINISTRACION'!H39</f>
        <v>0</v>
      </c>
      <c r="K133" s="19">
        <f ca="1">'2ER PERIODOADMINISTRACION'!I39</f>
        <v>0</v>
      </c>
      <c r="L133" s="19">
        <f ca="1">'2ER PERIODOADMINISTRACION'!J39</f>
        <v>0</v>
      </c>
      <c r="M133" s="19">
        <f ca="1">'2ER PERIODOADMINISTRACION'!K39</f>
        <v>0</v>
      </c>
      <c r="N133" s="19">
        <f ca="1">'2ER PERIODOADMINISTRACION'!L39</f>
        <v>0</v>
      </c>
      <c r="O133" s="19">
        <f ca="1">'2ER PERIODOADMINISTRACION'!M39</f>
        <v>0</v>
      </c>
      <c r="P133" s="19">
        <f ca="1">'2ER PERIODOADMINISTRACION'!N39</f>
        <v>0</v>
      </c>
      <c r="Q133" s="19">
        <f ca="1">'2ER PERIODOADMINISTRACION'!O39</f>
        <v>0</v>
      </c>
      <c r="R133" s="19">
        <f ca="1">'2ER PERIODOADMINISTRACION'!P39</f>
        <v>0</v>
      </c>
      <c r="S133" s="19">
        <f ca="1">'2ER PERIODOADMINISTRACION'!Q39</f>
        <v>0</v>
      </c>
      <c r="T133" s="19">
        <f ca="1">'2ER PERIODOADMINISTRACION'!R39</f>
        <v>0</v>
      </c>
      <c r="U133" s="21">
        <f ca="1">'2ER PERIODOADMINISTRACION'!S39</f>
        <v>0</v>
      </c>
    </row>
    <row r="134" spans="1:21" ht="39.75" customHeight="1">
      <c r="A134" s="53"/>
      <c r="B134" s="53"/>
      <c r="C134" s="7" t="s">
        <v>178</v>
      </c>
      <c r="D134" s="32">
        <v>477</v>
      </c>
      <c r="E134" s="16" t="str">
        <f ca="1">'1ER PERIODOADMINISTRACION'!C40</f>
        <v>LITROS</v>
      </c>
      <c r="F134" s="16" t="str">
        <f ca="1">'1ER PERIODOADMINISTRACION'!D40</f>
        <v>DECENDENTE</v>
      </c>
      <c r="G134" s="16" t="str">
        <f ca="1">'1ER PERIODOADMINISTRACION'!E40</f>
        <v>BITACORA OPERATIVA</v>
      </c>
      <c r="H134" s="18">
        <f ca="1">'2ER PERIODOADMINISTRACION'!F40</f>
        <v>0</v>
      </c>
      <c r="I134" s="19">
        <f ca="1">'2ER PERIODOADMINISTRACION'!G40</f>
        <v>0</v>
      </c>
      <c r="J134" s="19">
        <f ca="1">'2ER PERIODOADMINISTRACION'!H40</f>
        <v>0</v>
      </c>
      <c r="K134" s="19">
        <f ca="1">'2ER PERIODOADMINISTRACION'!I40</f>
        <v>0</v>
      </c>
      <c r="L134" s="19">
        <f ca="1">'2ER PERIODOADMINISTRACION'!J40</f>
        <v>0</v>
      </c>
      <c r="M134" s="19">
        <f ca="1">'2ER PERIODOADMINISTRACION'!K40</f>
        <v>0</v>
      </c>
      <c r="N134" s="19">
        <f ca="1">'2ER PERIODOADMINISTRACION'!L40</f>
        <v>0</v>
      </c>
      <c r="O134" s="19">
        <f ca="1">'2ER PERIODOADMINISTRACION'!M40</f>
        <v>0</v>
      </c>
      <c r="P134" s="19">
        <f ca="1">'2ER PERIODOADMINISTRACION'!N40</f>
        <v>0</v>
      </c>
      <c r="Q134" s="19">
        <f ca="1">'2ER PERIODOADMINISTRACION'!O40</f>
        <v>0</v>
      </c>
      <c r="R134" s="19">
        <f ca="1">'2ER PERIODOADMINISTRACION'!P40</f>
        <v>0</v>
      </c>
      <c r="S134" s="19">
        <f ca="1">'2ER PERIODOADMINISTRACION'!Q40</f>
        <v>0</v>
      </c>
      <c r="T134" s="19">
        <f ca="1">'2ER PERIODOADMINISTRACION'!R40</f>
        <v>0</v>
      </c>
      <c r="U134" s="21">
        <f ca="1">'2ER PERIODOADMINISTRACION'!S40</f>
        <v>0</v>
      </c>
    </row>
    <row r="135" spans="1:21" ht="39.75" customHeight="1">
      <c r="A135" s="53"/>
      <c r="B135" s="53"/>
      <c r="C135" s="7" t="s">
        <v>179</v>
      </c>
      <c r="D135" s="32">
        <v>1183</v>
      </c>
      <c r="E135" s="16" t="str">
        <f ca="1">'1ER PERIODOADMINISTRACION'!C41</f>
        <v>NUMERO DE MOTOCICLETAS OFICIALES QUE CARGAN GASOLINA</v>
      </c>
      <c r="F135" s="16" t="str">
        <f ca="1">'1ER PERIODOADMINISTRACION'!D41</f>
        <v>ASCENDENTE</v>
      </c>
      <c r="G135" s="16" t="str">
        <f ca="1">'1ER PERIODOADMINISTRACION'!E41</f>
        <v>BITACORA OPERATIVA</v>
      </c>
      <c r="H135" s="18">
        <f ca="1">'2ER PERIODOADMINISTRACION'!F41</f>
        <v>0</v>
      </c>
      <c r="I135" s="19">
        <f ca="1">'2ER PERIODOADMINISTRACION'!G41</f>
        <v>0</v>
      </c>
      <c r="J135" s="19">
        <f ca="1">'2ER PERIODOADMINISTRACION'!H41</f>
        <v>0</v>
      </c>
      <c r="K135" s="19">
        <f ca="1">'2ER PERIODOADMINISTRACION'!I41</f>
        <v>0</v>
      </c>
      <c r="L135" s="19">
        <f ca="1">'2ER PERIODOADMINISTRACION'!J41</f>
        <v>0</v>
      </c>
      <c r="M135" s="19">
        <f ca="1">'2ER PERIODOADMINISTRACION'!K41</f>
        <v>0</v>
      </c>
      <c r="N135" s="19">
        <f ca="1">'2ER PERIODOADMINISTRACION'!L41</f>
        <v>0</v>
      </c>
      <c r="O135" s="19">
        <f ca="1">'2ER PERIODOADMINISTRACION'!M41</f>
        <v>0</v>
      </c>
      <c r="P135" s="19">
        <f ca="1">'2ER PERIODOADMINISTRACION'!N41</f>
        <v>0</v>
      </c>
      <c r="Q135" s="19">
        <f ca="1">'2ER PERIODOADMINISTRACION'!O41</f>
        <v>0</v>
      </c>
      <c r="R135" s="19">
        <f ca="1">'2ER PERIODOADMINISTRACION'!P41</f>
        <v>0</v>
      </c>
      <c r="S135" s="19">
        <f ca="1">'2ER PERIODOADMINISTRACION'!Q41</f>
        <v>0</v>
      </c>
      <c r="T135" s="19">
        <f ca="1">'2ER PERIODOADMINISTRACION'!R41</f>
        <v>0</v>
      </c>
      <c r="U135" s="21">
        <f ca="1">'2ER PERIODOADMINISTRACION'!S41</f>
        <v>0</v>
      </c>
    </row>
    <row r="136" spans="1:21" ht="39.75" customHeight="1">
      <c r="A136" s="53"/>
      <c r="B136" s="53"/>
      <c r="C136" s="7" t="s">
        <v>177</v>
      </c>
      <c r="D136" s="32">
        <v>12194</v>
      </c>
      <c r="E136" s="16" t="str">
        <f ca="1">'1ER PERIODOADMINISTRACION'!C42</f>
        <v>CARGAS TOTALES AL MES DE MOTOCICLETAS</v>
      </c>
      <c r="F136" s="16" t="str">
        <f ca="1">'1ER PERIODOADMINISTRACION'!D42</f>
        <v>DECENDENTE</v>
      </c>
      <c r="G136" s="16" t="str">
        <f ca="1">'1ER PERIODOADMINISTRACION'!E42</f>
        <v>BITACORA OPERATIVA</v>
      </c>
      <c r="H136" s="18">
        <f ca="1">'2ER PERIODOADMINISTRACION'!F42</f>
        <v>0</v>
      </c>
      <c r="I136" s="19">
        <f ca="1">'2ER PERIODOADMINISTRACION'!G42</f>
        <v>0</v>
      </c>
      <c r="J136" s="19">
        <f ca="1">'2ER PERIODOADMINISTRACION'!H42</f>
        <v>0</v>
      </c>
      <c r="K136" s="19">
        <f ca="1">'2ER PERIODOADMINISTRACION'!I42</f>
        <v>0</v>
      </c>
      <c r="L136" s="19">
        <f ca="1">'2ER PERIODOADMINISTRACION'!J42</f>
        <v>0</v>
      </c>
      <c r="M136" s="19">
        <f ca="1">'2ER PERIODOADMINISTRACION'!K42</f>
        <v>0</v>
      </c>
      <c r="N136" s="19">
        <f ca="1">'2ER PERIODOADMINISTRACION'!L42</f>
        <v>0</v>
      </c>
      <c r="O136" s="19">
        <f ca="1">'2ER PERIODOADMINISTRACION'!M42</f>
        <v>0</v>
      </c>
      <c r="P136" s="19">
        <f ca="1">'2ER PERIODOADMINISTRACION'!N42</f>
        <v>0</v>
      </c>
      <c r="Q136" s="19">
        <f ca="1">'2ER PERIODOADMINISTRACION'!O42</f>
        <v>0</v>
      </c>
      <c r="R136" s="19">
        <f ca="1">'2ER PERIODOADMINISTRACION'!P42</f>
        <v>0</v>
      </c>
      <c r="S136" s="19">
        <f ca="1">'2ER PERIODOADMINISTRACION'!Q42</f>
        <v>0</v>
      </c>
      <c r="T136" s="19">
        <f ca="1">'2ER PERIODOADMINISTRACION'!R42</f>
        <v>0</v>
      </c>
      <c r="U136" s="21">
        <f ca="1">'2ER PERIODOADMINISTRACION'!S42</f>
        <v>0</v>
      </c>
    </row>
    <row r="137" spans="1:21" ht="39.75" customHeight="1">
      <c r="A137" s="53"/>
      <c r="B137" s="53"/>
      <c r="C137" s="7" t="s">
        <v>178</v>
      </c>
      <c r="D137" s="32">
        <v>345</v>
      </c>
      <c r="E137" s="16" t="str">
        <f ca="1">'1ER PERIODOADMINISTRACION'!C43</f>
        <v>TOTAL DE LITROS CARGADOS</v>
      </c>
      <c r="F137" s="16" t="str">
        <f ca="1">'1ER PERIODOADMINISTRACION'!D43</f>
        <v>DECENDENTE</v>
      </c>
      <c r="G137" s="16" t="str">
        <f ca="1">'1ER PERIODOADMINISTRACION'!E43</f>
        <v>BITACORA OPERATIVA</v>
      </c>
      <c r="H137" s="18">
        <f ca="1">'2ER PERIODOADMINISTRACION'!F43</f>
        <v>0</v>
      </c>
      <c r="I137" s="19">
        <f ca="1">'2ER PERIODOADMINISTRACION'!G43</f>
        <v>0</v>
      </c>
      <c r="J137" s="19">
        <f ca="1">'2ER PERIODOADMINISTRACION'!H43</f>
        <v>0</v>
      </c>
      <c r="K137" s="19">
        <f ca="1">'2ER PERIODOADMINISTRACION'!I43</f>
        <v>0</v>
      </c>
      <c r="L137" s="19">
        <f ca="1">'2ER PERIODOADMINISTRACION'!J43</f>
        <v>0</v>
      </c>
      <c r="M137" s="19">
        <f ca="1">'2ER PERIODOADMINISTRACION'!K43</f>
        <v>0</v>
      </c>
      <c r="N137" s="19">
        <f ca="1">'2ER PERIODOADMINISTRACION'!L43</f>
        <v>0</v>
      </c>
      <c r="O137" s="19">
        <f ca="1">'2ER PERIODOADMINISTRACION'!M43</f>
        <v>0</v>
      </c>
      <c r="P137" s="19">
        <f ca="1">'2ER PERIODOADMINISTRACION'!N43</f>
        <v>0</v>
      </c>
      <c r="Q137" s="19">
        <f ca="1">'2ER PERIODOADMINISTRACION'!O43</f>
        <v>0</v>
      </c>
      <c r="R137" s="19">
        <f ca="1">'2ER PERIODOADMINISTRACION'!P43</f>
        <v>0</v>
      </c>
      <c r="S137" s="19">
        <f ca="1">'2ER PERIODOADMINISTRACION'!Q43</f>
        <v>0</v>
      </c>
      <c r="T137" s="19">
        <f ca="1">'2ER PERIODOADMINISTRACION'!R43</f>
        <v>0</v>
      </c>
      <c r="U137" s="21">
        <f ca="1">'2ER PERIODOADMINISTRACION'!S43</f>
        <v>0</v>
      </c>
    </row>
    <row r="138" spans="1:21" ht="39.75" customHeight="1">
      <c r="A138" s="53"/>
      <c r="B138" s="53"/>
      <c r="C138" s="7" t="s">
        <v>180</v>
      </c>
      <c r="D138" s="32">
        <v>1373</v>
      </c>
      <c r="E138" s="16" t="str">
        <f ca="1">'1ER PERIODOADMINISTRACION'!C44</f>
        <v xml:space="preserve">VEHICULOS PARTICULARES QUE CARGAN GASOLINA </v>
      </c>
      <c r="F138" s="16" t="str">
        <f ca="1">'1ER PERIODOADMINISTRACION'!D44</f>
        <v>ASCENDENTE</v>
      </c>
      <c r="G138" s="16" t="str">
        <f ca="1">'1ER PERIODOADMINISTRACION'!E44</f>
        <v>BITACORA OPERATIVA</v>
      </c>
      <c r="H138" s="18">
        <f ca="1">'2ER PERIODOADMINISTRACION'!F44</f>
        <v>0</v>
      </c>
      <c r="I138" s="19">
        <f ca="1">'2ER PERIODOADMINISTRACION'!G44</f>
        <v>0</v>
      </c>
      <c r="J138" s="19">
        <f ca="1">'2ER PERIODOADMINISTRACION'!H44</f>
        <v>0</v>
      </c>
      <c r="K138" s="19">
        <f ca="1">'2ER PERIODOADMINISTRACION'!I44</f>
        <v>0</v>
      </c>
      <c r="L138" s="19">
        <f ca="1">'2ER PERIODOADMINISTRACION'!J44</f>
        <v>0</v>
      </c>
      <c r="M138" s="19">
        <f ca="1">'2ER PERIODOADMINISTRACION'!K44</f>
        <v>0</v>
      </c>
      <c r="N138" s="19">
        <f ca="1">'2ER PERIODOADMINISTRACION'!L44</f>
        <v>0</v>
      </c>
      <c r="O138" s="19">
        <f ca="1">'2ER PERIODOADMINISTRACION'!M44</f>
        <v>0</v>
      </c>
      <c r="P138" s="19">
        <f ca="1">'2ER PERIODOADMINISTRACION'!N44</f>
        <v>0</v>
      </c>
      <c r="Q138" s="19">
        <f ca="1">'2ER PERIODOADMINISTRACION'!O44</f>
        <v>0</v>
      </c>
      <c r="R138" s="19">
        <f ca="1">'2ER PERIODOADMINISTRACION'!P44</f>
        <v>0</v>
      </c>
      <c r="S138" s="19">
        <f ca="1">'2ER PERIODOADMINISTRACION'!Q44</f>
        <v>0</v>
      </c>
      <c r="T138" s="19">
        <f ca="1">'2ER PERIODOADMINISTRACION'!R44</f>
        <v>0</v>
      </c>
      <c r="U138" s="21">
        <f ca="1">'2ER PERIODOADMINISTRACION'!S44</f>
        <v>0</v>
      </c>
    </row>
    <row r="139" spans="1:21" ht="39.75" customHeight="1">
      <c r="A139" s="53"/>
      <c r="B139" s="53"/>
      <c r="C139" s="7" t="s">
        <v>177</v>
      </c>
      <c r="D139" s="32">
        <v>33600</v>
      </c>
      <c r="E139" s="16" t="str">
        <f ca="1">'1ER PERIODOADMINISTRACION'!C45</f>
        <v>CARGAS POR VEHICULO</v>
      </c>
      <c r="F139" s="16" t="str">
        <f ca="1">'1ER PERIODOADMINISTRACION'!D45</f>
        <v>ASCENDENTE</v>
      </c>
      <c r="G139" s="16" t="str">
        <f ca="1">'1ER PERIODOADMINISTRACION'!E45</f>
        <v>BITACORA OPERATIVA</v>
      </c>
      <c r="H139" s="18">
        <f ca="1">'2ER PERIODOADMINISTRACION'!F45</f>
        <v>0</v>
      </c>
      <c r="I139" s="19">
        <f ca="1">'2ER PERIODOADMINISTRACION'!G45</f>
        <v>0</v>
      </c>
      <c r="J139" s="19">
        <f ca="1">'2ER PERIODOADMINISTRACION'!H45</f>
        <v>0</v>
      </c>
      <c r="K139" s="19">
        <f ca="1">'2ER PERIODOADMINISTRACION'!I45</f>
        <v>0</v>
      </c>
      <c r="L139" s="19">
        <f ca="1">'2ER PERIODOADMINISTRACION'!J45</f>
        <v>0</v>
      </c>
      <c r="M139" s="19">
        <f ca="1">'2ER PERIODOADMINISTRACION'!K45</f>
        <v>0</v>
      </c>
      <c r="N139" s="19">
        <f ca="1">'2ER PERIODOADMINISTRACION'!L45</f>
        <v>0</v>
      </c>
      <c r="O139" s="19">
        <f ca="1">'2ER PERIODOADMINISTRACION'!M45</f>
        <v>0</v>
      </c>
      <c r="P139" s="19">
        <f ca="1">'2ER PERIODOADMINISTRACION'!N45</f>
        <v>0</v>
      </c>
      <c r="Q139" s="19">
        <f ca="1">'2ER PERIODOADMINISTRACION'!O45</f>
        <v>0</v>
      </c>
      <c r="R139" s="19">
        <f ca="1">'2ER PERIODOADMINISTRACION'!P45</f>
        <v>0</v>
      </c>
      <c r="S139" s="19">
        <f ca="1">'2ER PERIODOADMINISTRACION'!Q45</f>
        <v>0</v>
      </c>
      <c r="T139" s="19">
        <f ca="1">'2ER PERIODOADMINISTRACION'!R45</f>
        <v>0</v>
      </c>
      <c r="U139" s="21">
        <f ca="1">'2ER PERIODOADMINISTRACION'!S45</f>
        <v>0</v>
      </c>
    </row>
    <row r="140" spans="1:21" ht="39.75" customHeight="1">
      <c r="A140" s="53"/>
      <c r="B140" s="53"/>
      <c r="C140" s="7" t="s">
        <v>178</v>
      </c>
      <c r="D140" s="32">
        <v>66</v>
      </c>
      <c r="E140" s="16" t="str">
        <f ca="1">'1ER PERIODOADMINISTRACION'!C46</f>
        <v>LITROS DESPACHADOS</v>
      </c>
      <c r="F140" s="16" t="str">
        <f ca="1">'1ER PERIODOADMINISTRACION'!D46</f>
        <v>ASCENDENTE</v>
      </c>
      <c r="G140" s="16" t="str">
        <f ca="1">'1ER PERIODOADMINISTRACION'!E46</f>
        <v>BITACORA OPERATIVA</v>
      </c>
      <c r="H140" s="18">
        <f ca="1">'2ER PERIODOADMINISTRACION'!F46</f>
        <v>0</v>
      </c>
      <c r="I140" s="19">
        <f ca="1">'2ER PERIODOADMINISTRACION'!G46</f>
        <v>0</v>
      </c>
      <c r="J140" s="19">
        <f ca="1">'2ER PERIODOADMINISTRACION'!H46</f>
        <v>0</v>
      </c>
      <c r="K140" s="19">
        <f ca="1">'2ER PERIODOADMINISTRACION'!I46</f>
        <v>0</v>
      </c>
      <c r="L140" s="19">
        <f ca="1">'2ER PERIODOADMINISTRACION'!J46</f>
        <v>0</v>
      </c>
      <c r="M140" s="19">
        <f ca="1">'2ER PERIODOADMINISTRACION'!K46</f>
        <v>0</v>
      </c>
      <c r="N140" s="19">
        <f ca="1">'2ER PERIODOADMINISTRACION'!L46</f>
        <v>0</v>
      </c>
      <c r="O140" s="19">
        <f ca="1">'2ER PERIODOADMINISTRACION'!M46</f>
        <v>0</v>
      </c>
      <c r="P140" s="19">
        <f ca="1">'2ER PERIODOADMINISTRACION'!N46</f>
        <v>0</v>
      </c>
      <c r="Q140" s="19">
        <f ca="1">'2ER PERIODOADMINISTRACION'!O46</f>
        <v>0</v>
      </c>
      <c r="R140" s="19">
        <f ca="1">'2ER PERIODOADMINISTRACION'!P46</f>
        <v>0</v>
      </c>
      <c r="S140" s="19">
        <f ca="1">'2ER PERIODOADMINISTRACION'!Q46</f>
        <v>0</v>
      </c>
      <c r="T140" s="19">
        <f ca="1">'2ER PERIODOADMINISTRACION'!R46</f>
        <v>0</v>
      </c>
      <c r="U140" s="21">
        <f ca="1">'2ER PERIODOADMINISTRACION'!S46</f>
        <v>0</v>
      </c>
    </row>
    <row r="141" spans="1:21" ht="39.75" customHeight="1">
      <c r="A141" s="53"/>
      <c r="B141" s="53"/>
      <c r="C141" s="7" t="s">
        <v>181</v>
      </c>
      <c r="D141" s="32">
        <v>266</v>
      </c>
      <c r="E141" s="16" t="str">
        <f ca="1">'1ER PERIODOADMINISTRACION'!C47</f>
        <v xml:space="preserve"> MOTOCICLETAS PARTICULARES QUE SE LES CARGO CUMBUSTIBLE</v>
      </c>
      <c r="F141" s="16" t="str">
        <f ca="1">'1ER PERIODOADMINISTRACION'!D47</f>
        <v>ASCENDENTE</v>
      </c>
      <c r="G141" s="16" t="str">
        <f ca="1">'1ER PERIODOADMINISTRACION'!E47</f>
        <v>BITACORA OPERATIVA</v>
      </c>
      <c r="H141" s="18">
        <f ca="1">'2ER PERIODOADMINISTRACION'!F47</f>
        <v>0</v>
      </c>
      <c r="I141" s="19">
        <f ca="1">'2ER PERIODOADMINISTRACION'!G47</f>
        <v>0</v>
      </c>
      <c r="J141" s="19">
        <f ca="1">'2ER PERIODOADMINISTRACION'!H47</f>
        <v>0</v>
      </c>
      <c r="K141" s="19">
        <f ca="1">'2ER PERIODOADMINISTRACION'!I47</f>
        <v>0</v>
      </c>
      <c r="L141" s="19">
        <f ca="1">'2ER PERIODOADMINISTRACION'!J47</f>
        <v>0</v>
      </c>
      <c r="M141" s="19">
        <f ca="1">'2ER PERIODOADMINISTRACION'!K47</f>
        <v>0</v>
      </c>
      <c r="N141" s="19">
        <f ca="1">'2ER PERIODOADMINISTRACION'!L47</f>
        <v>0</v>
      </c>
      <c r="O141" s="19">
        <f ca="1">'2ER PERIODOADMINISTRACION'!M47</f>
        <v>0</v>
      </c>
      <c r="P141" s="19">
        <f ca="1">'2ER PERIODOADMINISTRACION'!N47</f>
        <v>0</v>
      </c>
      <c r="Q141" s="19">
        <f ca="1">'2ER PERIODOADMINISTRACION'!O47</f>
        <v>0</v>
      </c>
      <c r="R141" s="19">
        <f ca="1">'2ER PERIODOADMINISTRACION'!P47</f>
        <v>0</v>
      </c>
      <c r="S141" s="19">
        <f ca="1">'2ER PERIODOADMINISTRACION'!Q47</f>
        <v>0</v>
      </c>
      <c r="T141" s="19">
        <f ca="1">'2ER PERIODOADMINISTRACION'!R47</f>
        <v>0</v>
      </c>
      <c r="U141" s="21">
        <f ca="1">'2ER PERIODOADMINISTRACION'!S47</f>
        <v>0</v>
      </c>
    </row>
    <row r="142" spans="1:21" ht="39.75" customHeight="1">
      <c r="A142" s="53"/>
      <c r="B142" s="53"/>
      <c r="C142" s="7" t="s">
        <v>177</v>
      </c>
      <c r="D142" s="32">
        <v>1590</v>
      </c>
      <c r="E142" s="16" t="str">
        <f ca="1">'1ER PERIODOADMINISTRACION'!C48</f>
        <v>CARGAS POR VEHICULO</v>
      </c>
      <c r="F142" s="16" t="str">
        <f ca="1">'1ER PERIODOADMINISTRACION'!D48</f>
        <v>ASCENDENTE</v>
      </c>
      <c r="G142" s="16" t="str">
        <f ca="1">'1ER PERIODOADMINISTRACION'!E48</f>
        <v>BITACORA OPERATIVA</v>
      </c>
      <c r="H142" s="18">
        <f ca="1">'2ER PERIODOADMINISTRACION'!F48</f>
        <v>0</v>
      </c>
      <c r="I142" s="19">
        <f ca="1">'2ER PERIODOADMINISTRACION'!G48</f>
        <v>0</v>
      </c>
      <c r="J142" s="19">
        <f ca="1">'2ER PERIODOADMINISTRACION'!H48</f>
        <v>0</v>
      </c>
      <c r="K142" s="19">
        <f ca="1">'2ER PERIODOADMINISTRACION'!I48</f>
        <v>0</v>
      </c>
      <c r="L142" s="19">
        <f ca="1">'2ER PERIODOADMINISTRACION'!J48</f>
        <v>0</v>
      </c>
      <c r="M142" s="19">
        <f ca="1">'2ER PERIODOADMINISTRACION'!K48</f>
        <v>0</v>
      </c>
      <c r="N142" s="19">
        <f ca="1">'2ER PERIODOADMINISTRACION'!L48</f>
        <v>0</v>
      </c>
      <c r="O142" s="19">
        <f ca="1">'2ER PERIODOADMINISTRACION'!M48</f>
        <v>0</v>
      </c>
      <c r="P142" s="19">
        <f ca="1">'2ER PERIODOADMINISTRACION'!N48</f>
        <v>0</v>
      </c>
      <c r="Q142" s="19">
        <f ca="1">'2ER PERIODOADMINISTRACION'!O48</f>
        <v>0</v>
      </c>
      <c r="R142" s="19">
        <f ca="1">'2ER PERIODOADMINISTRACION'!P48</f>
        <v>0</v>
      </c>
      <c r="S142" s="19">
        <f ca="1">'2ER PERIODOADMINISTRACION'!Q48</f>
        <v>0</v>
      </c>
      <c r="T142" s="19">
        <f ca="1">'2ER PERIODOADMINISTRACION'!R48</f>
        <v>0</v>
      </c>
      <c r="U142" s="21">
        <f ca="1">'2ER PERIODOADMINISTRACION'!S48</f>
        <v>0</v>
      </c>
    </row>
    <row r="143" spans="1:21" ht="39.75" customHeight="1">
      <c r="A143" s="53"/>
      <c r="B143" s="53"/>
      <c r="C143" s="7" t="s">
        <v>178</v>
      </c>
      <c r="D143" s="32">
        <v>2551</v>
      </c>
      <c r="E143" s="16" t="str">
        <f ca="1">'1ER PERIODOADMINISTRACION'!C49</f>
        <v>CARGAS POR VEHICULO</v>
      </c>
      <c r="F143" s="16" t="str">
        <f ca="1">'1ER PERIODOADMINISTRACION'!D49</f>
        <v>ASCENDENTE</v>
      </c>
      <c r="G143" s="16" t="str">
        <f ca="1">'1ER PERIODOADMINISTRACION'!E49</f>
        <v>BITACORA OPERATIVA</v>
      </c>
      <c r="H143" s="18">
        <f ca="1">'2ER PERIODOADMINISTRACION'!F49</f>
        <v>0</v>
      </c>
      <c r="I143" s="19">
        <f ca="1">'2ER PERIODOADMINISTRACION'!G49</f>
        <v>0</v>
      </c>
      <c r="J143" s="19">
        <f ca="1">'2ER PERIODOADMINISTRACION'!H49</f>
        <v>0</v>
      </c>
      <c r="K143" s="19">
        <f ca="1">'2ER PERIODOADMINISTRACION'!I49</f>
        <v>0</v>
      </c>
      <c r="L143" s="19">
        <f ca="1">'2ER PERIODOADMINISTRACION'!J49</f>
        <v>0</v>
      </c>
      <c r="M143" s="19">
        <f ca="1">'2ER PERIODOADMINISTRACION'!K49</f>
        <v>0</v>
      </c>
      <c r="N143" s="19">
        <f ca="1">'2ER PERIODOADMINISTRACION'!L49</f>
        <v>0</v>
      </c>
      <c r="O143" s="19">
        <f ca="1">'2ER PERIODOADMINISTRACION'!M49</f>
        <v>0</v>
      </c>
      <c r="P143" s="19">
        <f ca="1">'2ER PERIODOADMINISTRACION'!N49</f>
        <v>0</v>
      </c>
      <c r="Q143" s="19">
        <f ca="1">'2ER PERIODOADMINISTRACION'!O49</f>
        <v>0</v>
      </c>
      <c r="R143" s="19">
        <f ca="1">'2ER PERIODOADMINISTRACION'!P49</f>
        <v>0</v>
      </c>
      <c r="S143" s="19">
        <f ca="1">'2ER PERIODOADMINISTRACION'!Q49</f>
        <v>0</v>
      </c>
      <c r="T143" s="19">
        <f ca="1">'2ER PERIODOADMINISTRACION'!R49</f>
        <v>0</v>
      </c>
      <c r="U143" s="21">
        <f ca="1">'2ER PERIODOADMINISTRACION'!S49</f>
        <v>0</v>
      </c>
    </row>
    <row r="144" spans="1:21" ht="39.75" customHeight="1">
      <c r="A144" s="53"/>
      <c r="B144" s="53"/>
      <c r="C144" s="7" t="s">
        <v>182</v>
      </c>
      <c r="D144" s="32">
        <v>23033938</v>
      </c>
      <c r="E144" s="16" t="str">
        <f ca="1">'1ER PERIODOADMINISTRACION'!C50</f>
        <v>NOTAS</v>
      </c>
      <c r="F144" s="16" t="str">
        <f ca="1">'1ER PERIODOADMINISTRACION'!D50</f>
        <v>ASCENDENTE</v>
      </c>
      <c r="G144" s="16" t="str">
        <f ca="1">'1ER PERIODOADMINISTRACION'!E50</f>
        <v>BITACORA OPERATIVA</v>
      </c>
      <c r="H144" s="18">
        <f ca="1">'2ER PERIODOADMINISTRACION'!F50</f>
        <v>0</v>
      </c>
      <c r="I144" s="19">
        <f ca="1">'2ER PERIODOADMINISTRACION'!G50</f>
        <v>0</v>
      </c>
      <c r="J144" s="19">
        <f ca="1">'2ER PERIODOADMINISTRACION'!H50</f>
        <v>0</v>
      </c>
      <c r="K144" s="19">
        <f ca="1">'2ER PERIODOADMINISTRACION'!I50</f>
        <v>0</v>
      </c>
      <c r="L144" s="19">
        <f ca="1">'2ER PERIODOADMINISTRACION'!J50</f>
        <v>0</v>
      </c>
      <c r="M144" s="19">
        <f ca="1">'2ER PERIODOADMINISTRACION'!K50</f>
        <v>0</v>
      </c>
      <c r="N144" s="19">
        <f ca="1">'2ER PERIODOADMINISTRACION'!L50</f>
        <v>0</v>
      </c>
      <c r="O144" s="19">
        <f ca="1">'2ER PERIODOADMINISTRACION'!M50</f>
        <v>0</v>
      </c>
      <c r="P144" s="19">
        <f ca="1">'2ER PERIODOADMINISTRACION'!N50</f>
        <v>0</v>
      </c>
      <c r="Q144" s="19">
        <f ca="1">'2ER PERIODOADMINISTRACION'!O50</f>
        <v>0</v>
      </c>
      <c r="R144" s="19">
        <f ca="1">'2ER PERIODOADMINISTRACION'!P50</f>
        <v>0</v>
      </c>
      <c r="S144" s="19">
        <f ca="1">'2ER PERIODOADMINISTRACION'!Q50</f>
        <v>0</v>
      </c>
      <c r="T144" s="19">
        <f ca="1">'2ER PERIODOADMINISTRACION'!R50</f>
        <v>0</v>
      </c>
      <c r="U144" s="21">
        <f ca="1">'2ER PERIODOADMINISTRACION'!S50</f>
        <v>0</v>
      </c>
    </row>
    <row r="145" spans="1:21" ht="39.75" customHeight="1">
      <c r="A145" s="53"/>
      <c r="B145" s="53"/>
      <c r="C145" s="7" t="s">
        <v>183</v>
      </c>
      <c r="D145" s="32">
        <v>595</v>
      </c>
      <c r="E145" s="16" t="str">
        <f ca="1">'1ER PERIODOADMINISTRACION'!C51</f>
        <v>COSTO APROXIMADO DE LAS CARGAS DE GASOLINA</v>
      </c>
      <c r="F145" s="16" t="str">
        <f ca="1">'1ER PERIODOADMINISTRACION'!D51</f>
        <v>ASCENDENTE</v>
      </c>
      <c r="G145" s="16" t="str">
        <f ca="1">'1ER PERIODOADMINISTRACION'!E51</f>
        <v>BITACORA OPERATIVA</v>
      </c>
      <c r="H145" s="18">
        <f ca="1">'2ER PERIODOADMINISTRACION'!F51</f>
        <v>0</v>
      </c>
      <c r="I145" s="19">
        <f ca="1">'2ER PERIODOADMINISTRACION'!G51</f>
        <v>0</v>
      </c>
      <c r="J145" s="19">
        <f ca="1">'2ER PERIODOADMINISTRACION'!H51</f>
        <v>0</v>
      </c>
      <c r="K145" s="19">
        <f ca="1">'2ER PERIODOADMINISTRACION'!I51</f>
        <v>0</v>
      </c>
      <c r="L145" s="19">
        <f ca="1">'2ER PERIODOADMINISTRACION'!J51</f>
        <v>0</v>
      </c>
      <c r="M145" s="19">
        <f ca="1">'2ER PERIODOADMINISTRACION'!K51</f>
        <v>0</v>
      </c>
      <c r="N145" s="19">
        <f ca="1">'2ER PERIODOADMINISTRACION'!L51</f>
        <v>0</v>
      </c>
      <c r="O145" s="19">
        <f ca="1">'2ER PERIODOADMINISTRACION'!M51</f>
        <v>0</v>
      </c>
      <c r="P145" s="19">
        <f ca="1">'2ER PERIODOADMINISTRACION'!N51</f>
        <v>0</v>
      </c>
      <c r="Q145" s="19">
        <f ca="1">'2ER PERIODOADMINISTRACION'!O51</f>
        <v>0</v>
      </c>
      <c r="R145" s="19">
        <f ca="1">'2ER PERIODOADMINISTRACION'!P51</f>
        <v>0</v>
      </c>
      <c r="S145" s="19">
        <f ca="1">'2ER PERIODOADMINISTRACION'!Q51</f>
        <v>0</v>
      </c>
      <c r="T145" s="19">
        <f ca="1">'2ER PERIODOADMINISTRACION'!R51</f>
        <v>0</v>
      </c>
      <c r="U145" s="21">
        <f ca="1">'2ER PERIODOADMINISTRACION'!S51</f>
        <v>0</v>
      </c>
    </row>
    <row r="146" spans="1:21" ht="39.75" customHeight="1">
      <c r="A146" s="53"/>
      <c r="B146" s="53"/>
      <c r="C146" s="7" t="s">
        <v>184</v>
      </c>
      <c r="D146" s="32">
        <v>837</v>
      </c>
      <c r="E146" s="16" t="str">
        <f ca="1">'1ER PERIODOADMINISTRACION'!C52</f>
        <v>TOTAL DE VEHICULOS A DIESEL QUE CARGAN GASOLINA</v>
      </c>
      <c r="F146" s="16" t="str">
        <f ca="1">'1ER PERIODOADMINISTRACION'!D52</f>
        <v>ASCENDENTE</v>
      </c>
      <c r="G146" s="16" t="str">
        <f ca="1">'1ER PERIODOADMINISTRACION'!E52</f>
        <v>BITACORA OPERATIVA</v>
      </c>
      <c r="H146" s="18">
        <f ca="1">'2ER PERIODOADMINISTRACION'!F52</f>
        <v>0</v>
      </c>
      <c r="I146" s="19">
        <f ca="1">'2ER PERIODOADMINISTRACION'!G52</f>
        <v>0</v>
      </c>
      <c r="J146" s="19">
        <f ca="1">'2ER PERIODOADMINISTRACION'!H52</f>
        <v>0</v>
      </c>
      <c r="K146" s="19">
        <f ca="1">'2ER PERIODOADMINISTRACION'!I52</f>
        <v>0</v>
      </c>
      <c r="L146" s="19">
        <f ca="1">'2ER PERIODOADMINISTRACION'!J52</f>
        <v>0</v>
      </c>
      <c r="M146" s="19">
        <f ca="1">'2ER PERIODOADMINISTRACION'!K52</f>
        <v>0</v>
      </c>
      <c r="N146" s="19">
        <f ca="1">'2ER PERIODOADMINISTRACION'!L52</f>
        <v>0</v>
      </c>
      <c r="O146" s="19">
        <f ca="1">'2ER PERIODOADMINISTRACION'!M52</f>
        <v>0</v>
      </c>
      <c r="P146" s="19">
        <f ca="1">'2ER PERIODOADMINISTRACION'!N52</f>
        <v>0</v>
      </c>
      <c r="Q146" s="19">
        <f ca="1">'2ER PERIODOADMINISTRACION'!O52</f>
        <v>0</v>
      </c>
      <c r="R146" s="19">
        <f ca="1">'2ER PERIODOADMINISTRACION'!P52</f>
        <v>0</v>
      </c>
      <c r="S146" s="19">
        <f ca="1">'2ER PERIODOADMINISTRACION'!Q52</f>
        <v>0</v>
      </c>
      <c r="T146" s="19">
        <f ca="1">'2ER PERIODOADMINISTRACION'!R52</f>
        <v>0</v>
      </c>
      <c r="U146" s="21">
        <f ca="1">'2ER PERIODOADMINISTRACION'!S52</f>
        <v>0</v>
      </c>
    </row>
    <row r="147" spans="1:21" ht="39.75" customHeight="1">
      <c r="A147" s="53"/>
      <c r="B147" s="53"/>
      <c r="C147" s="7" t="s">
        <v>177</v>
      </c>
      <c r="D147" s="32">
        <v>220257</v>
      </c>
      <c r="E147" s="16" t="str">
        <f ca="1">'1ER PERIODOADMINISTRACION'!C53</f>
        <v>NUMERO DE VECES QUE CARGAN COMBUSTIBLE LOS VEHICULOS DIESEL</v>
      </c>
      <c r="F147" s="16" t="str">
        <f ca="1">'1ER PERIODOADMINISTRACION'!D53</f>
        <v>ASCENDENTE</v>
      </c>
      <c r="G147" s="16" t="str">
        <f ca="1">'1ER PERIODOADMINISTRACION'!E53</f>
        <v>BITACORA OPERATIVA</v>
      </c>
      <c r="H147" s="18">
        <f ca="1">'2ER PERIODOADMINISTRACION'!F53</f>
        <v>0</v>
      </c>
      <c r="I147" s="19">
        <f ca="1">'2ER PERIODOADMINISTRACION'!G53</f>
        <v>0</v>
      </c>
      <c r="J147" s="19">
        <f ca="1">'2ER PERIODOADMINISTRACION'!H53</f>
        <v>0</v>
      </c>
      <c r="K147" s="19">
        <f ca="1">'2ER PERIODOADMINISTRACION'!I53</f>
        <v>0</v>
      </c>
      <c r="L147" s="19">
        <f ca="1">'2ER PERIODOADMINISTRACION'!J53</f>
        <v>0</v>
      </c>
      <c r="M147" s="19">
        <f ca="1">'2ER PERIODOADMINISTRACION'!K53</f>
        <v>0</v>
      </c>
      <c r="N147" s="19">
        <f ca="1">'2ER PERIODOADMINISTRACION'!L53</f>
        <v>0</v>
      </c>
      <c r="O147" s="19">
        <f ca="1">'2ER PERIODOADMINISTRACION'!M53</f>
        <v>0</v>
      </c>
      <c r="P147" s="19">
        <f ca="1">'2ER PERIODOADMINISTRACION'!N53</f>
        <v>0</v>
      </c>
      <c r="Q147" s="19">
        <f ca="1">'2ER PERIODOADMINISTRACION'!O53</f>
        <v>0</v>
      </c>
      <c r="R147" s="19">
        <f ca="1">'2ER PERIODOADMINISTRACION'!P53</f>
        <v>0</v>
      </c>
      <c r="S147" s="19">
        <f ca="1">'2ER PERIODOADMINISTRACION'!Q53</f>
        <v>0</v>
      </c>
      <c r="T147" s="19">
        <f ca="1">'2ER PERIODOADMINISTRACION'!R53</f>
        <v>0</v>
      </c>
      <c r="U147" s="21">
        <f ca="1">'2ER PERIODOADMINISTRACION'!S53</f>
        <v>0</v>
      </c>
    </row>
    <row r="148" spans="1:21" ht="39.75" customHeight="1">
      <c r="A148" s="53"/>
      <c r="B148" s="53"/>
      <c r="C148" s="7" t="s">
        <v>185</v>
      </c>
      <c r="D148" s="32">
        <v>424</v>
      </c>
      <c r="E148" s="16" t="str">
        <f ca="1">'1ER PERIODOADMINISTRACION'!C54</f>
        <v>LITROS DESPACHADOS</v>
      </c>
      <c r="F148" s="16" t="str">
        <f ca="1">'1ER PERIODOADMINISTRACION'!D54</f>
        <v>ASCENDENTE</v>
      </c>
      <c r="G148" s="16" t="str">
        <f ca="1">'1ER PERIODOADMINISTRACION'!E54</f>
        <v>BITACORA OPERATIVA</v>
      </c>
      <c r="H148" s="18">
        <f ca="1">'2ER PERIODOADMINISTRACION'!F54</f>
        <v>0</v>
      </c>
      <c r="I148" s="19">
        <f ca="1">'2ER PERIODOADMINISTRACION'!G54</f>
        <v>0</v>
      </c>
      <c r="J148" s="19">
        <f ca="1">'2ER PERIODOADMINISTRACION'!H54</f>
        <v>0</v>
      </c>
      <c r="K148" s="19">
        <f ca="1">'2ER PERIODOADMINISTRACION'!I54</f>
        <v>0</v>
      </c>
      <c r="L148" s="19">
        <f ca="1">'2ER PERIODOADMINISTRACION'!J54</f>
        <v>0</v>
      </c>
      <c r="M148" s="19">
        <f ca="1">'2ER PERIODOADMINISTRACION'!K54</f>
        <v>0</v>
      </c>
      <c r="N148" s="19">
        <f ca="1">'2ER PERIODOADMINISTRACION'!L54</f>
        <v>0</v>
      </c>
      <c r="O148" s="19">
        <f ca="1">'2ER PERIODOADMINISTRACION'!M54</f>
        <v>0</v>
      </c>
      <c r="P148" s="19">
        <f ca="1">'2ER PERIODOADMINISTRACION'!N54</f>
        <v>0</v>
      </c>
      <c r="Q148" s="19">
        <f ca="1">'2ER PERIODOADMINISTRACION'!O54</f>
        <v>0</v>
      </c>
      <c r="R148" s="19">
        <f ca="1">'2ER PERIODOADMINISTRACION'!P54</f>
        <v>0</v>
      </c>
      <c r="S148" s="19">
        <f ca="1">'2ER PERIODOADMINISTRACION'!Q54</f>
        <v>0</v>
      </c>
      <c r="T148" s="19">
        <f ca="1">'2ER PERIODOADMINISTRACION'!R54</f>
        <v>0</v>
      </c>
      <c r="U148" s="21">
        <f ca="1">'2ER PERIODOADMINISTRACION'!S54</f>
        <v>0</v>
      </c>
    </row>
    <row r="149" spans="1:21" ht="39.75" customHeight="1">
      <c r="A149" s="53"/>
      <c r="B149" s="53"/>
      <c r="C149" s="7" t="s">
        <v>186</v>
      </c>
      <c r="D149" s="32">
        <v>226</v>
      </c>
      <c r="E149" s="16" t="str">
        <f ca="1">'1ER PERIODOADMINISTRACION'!C55</f>
        <v>PROMEDIO DE VEHICULOS DE SEGURIDAD PUBLICA</v>
      </c>
      <c r="F149" s="16" t="str">
        <f ca="1">'1ER PERIODOADMINISTRACION'!D55</f>
        <v>ASCENDENTE</v>
      </c>
      <c r="G149" s="16" t="str">
        <f ca="1">'1ER PERIODOADMINISTRACION'!E55</f>
        <v>BITACORA OPERATIVA</v>
      </c>
      <c r="H149" s="18">
        <f ca="1">'2ER PERIODOADMINISTRACION'!F55</f>
        <v>0</v>
      </c>
      <c r="I149" s="19">
        <f ca="1">'2ER PERIODOADMINISTRACION'!G55</f>
        <v>0</v>
      </c>
      <c r="J149" s="19">
        <f ca="1">'2ER PERIODOADMINISTRACION'!H55</f>
        <v>0</v>
      </c>
      <c r="K149" s="19">
        <f ca="1">'2ER PERIODOADMINISTRACION'!I55</f>
        <v>0</v>
      </c>
      <c r="L149" s="19">
        <f ca="1">'2ER PERIODOADMINISTRACION'!J55</f>
        <v>0</v>
      </c>
      <c r="M149" s="19">
        <f ca="1">'2ER PERIODOADMINISTRACION'!K55</f>
        <v>0</v>
      </c>
      <c r="N149" s="19">
        <f ca="1">'2ER PERIODOADMINISTRACION'!L55</f>
        <v>0</v>
      </c>
      <c r="O149" s="19">
        <f ca="1">'2ER PERIODOADMINISTRACION'!M55</f>
        <v>0</v>
      </c>
      <c r="P149" s="19">
        <f ca="1">'2ER PERIODOADMINISTRACION'!N55</f>
        <v>0</v>
      </c>
      <c r="Q149" s="19">
        <f ca="1">'2ER PERIODOADMINISTRACION'!O55</f>
        <v>0</v>
      </c>
      <c r="R149" s="19">
        <f ca="1">'2ER PERIODOADMINISTRACION'!P55</f>
        <v>0</v>
      </c>
      <c r="S149" s="19">
        <f ca="1">'2ER PERIODOADMINISTRACION'!Q55</f>
        <v>0</v>
      </c>
      <c r="T149" s="19">
        <f ca="1">'2ER PERIODOADMINISTRACION'!R55</f>
        <v>0</v>
      </c>
      <c r="U149" s="21">
        <f ca="1">'2ER PERIODOADMINISTRACION'!S55</f>
        <v>0</v>
      </c>
    </row>
    <row r="150" spans="1:21" ht="39.75" customHeight="1">
      <c r="A150" s="53"/>
      <c r="B150" s="51"/>
      <c r="C150" s="7" t="s">
        <v>187</v>
      </c>
      <c r="D150" s="32">
        <v>60</v>
      </c>
      <c r="E150" s="16" t="str">
        <f ca="1">'1ER PERIODOADMINISTRACION'!C56</f>
        <v>PROMEDIO DE MOTOCICLETAS DE SEGURIDAD PUBLICA</v>
      </c>
      <c r="F150" s="16" t="str">
        <f ca="1">'1ER PERIODOADMINISTRACION'!D56</f>
        <v>ASCENDENTE</v>
      </c>
      <c r="G150" s="16" t="str">
        <f ca="1">'1ER PERIODOADMINISTRACION'!E56</f>
        <v>BITACORA OPERATIVA</v>
      </c>
      <c r="H150" s="18">
        <f ca="1">'2ER PERIODOADMINISTRACION'!F56</f>
        <v>0</v>
      </c>
      <c r="I150" s="19">
        <f ca="1">'2ER PERIODOADMINISTRACION'!G56</f>
        <v>0</v>
      </c>
      <c r="J150" s="19">
        <f ca="1">'2ER PERIODOADMINISTRACION'!H56</f>
        <v>0</v>
      </c>
      <c r="K150" s="19">
        <f ca="1">'2ER PERIODOADMINISTRACION'!I56</f>
        <v>0</v>
      </c>
      <c r="L150" s="19">
        <f ca="1">'2ER PERIODOADMINISTRACION'!J56</f>
        <v>0</v>
      </c>
      <c r="M150" s="19">
        <f ca="1">'2ER PERIODOADMINISTRACION'!K56</f>
        <v>0</v>
      </c>
      <c r="N150" s="19">
        <f ca="1">'2ER PERIODOADMINISTRACION'!L56</f>
        <v>0</v>
      </c>
      <c r="O150" s="19">
        <f ca="1">'2ER PERIODOADMINISTRACION'!M56</f>
        <v>0</v>
      </c>
      <c r="P150" s="19">
        <f ca="1">'2ER PERIODOADMINISTRACION'!N56</f>
        <v>0</v>
      </c>
      <c r="Q150" s="19">
        <f ca="1">'2ER PERIODOADMINISTRACION'!O56</f>
        <v>0</v>
      </c>
      <c r="R150" s="19">
        <f ca="1">'2ER PERIODOADMINISTRACION'!P56</f>
        <v>0</v>
      </c>
      <c r="S150" s="19">
        <f ca="1">'2ER PERIODOADMINISTRACION'!Q56</f>
        <v>0</v>
      </c>
      <c r="T150" s="19">
        <f ca="1">'2ER PERIODOADMINISTRACION'!R56</f>
        <v>0</v>
      </c>
      <c r="U150" s="21">
        <f ca="1">'2ER PERIODOADMINISTRACION'!S56</f>
        <v>0</v>
      </c>
    </row>
    <row r="151" spans="1:21" ht="39.75" customHeight="1">
      <c r="A151" s="53"/>
      <c r="B151" s="55" t="s">
        <v>188</v>
      </c>
      <c r="C151" s="7" t="s">
        <v>189</v>
      </c>
      <c r="D151" s="32">
        <v>261</v>
      </c>
      <c r="E151" s="16" t="str">
        <f ca="1">'1ER PERIODOADMINISTRACION'!C57</f>
        <v xml:space="preserve">CONSULTAS MEDICAS DOMICILIARIAS REALIZADAS </v>
      </c>
      <c r="F151" s="16" t="str">
        <f ca="1">'1ER PERIODOADMINISTRACION'!D57</f>
        <v>ASCENDENTE</v>
      </c>
      <c r="G151" s="16" t="str">
        <f ca="1">'1ER PERIODOADMINISTRACION'!E57</f>
        <v>BITACORA OPERATIVA</v>
      </c>
      <c r="H151" s="18">
        <f ca="1">'2ER PERIODOADMINISTRACION'!F57</f>
        <v>0</v>
      </c>
      <c r="I151" s="19">
        <f ca="1">'2ER PERIODOADMINISTRACION'!G57</f>
        <v>0</v>
      </c>
      <c r="J151" s="19">
        <f ca="1">'2ER PERIODOADMINISTRACION'!H57</f>
        <v>0</v>
      </c>
      <c r="K151" s="19">
        <f ca="1">'2ER PERIODOADMINISTRACION'!I57</f>
        <v>0</v>
      </c>
      <c r="L151" s="19">
        <f ca="1">'2ER PERIODOADMINISTRACION'!J57</f>
        <v>0</v>
      </c>
      <c r="M151" s="19">
        <f ca="1">'2ER PERIODOADMINISTRACION'!K57</f>
        <v>0</v>
      </c>
      <c r="N151" s="19">
        <f ca="1">'2ER PERIODOADMINISTRACION'!L57</f>
        <v>0</v>
      </c>
      <c r="O151" s="19">
        <f ca="1">'2ER PERIODOADMINISTRACION'!M57</f>
        <v>0</v>
      </c>
      <c r="P151" s="19">
        <f ca="1">'2ER PERIODOADMINISTRACION'!N57</f>
        <v>0</v>
      </c>
      <c r="Q151" s="19">
        <f ca="1">'2ER PERIODOADMINISTRACION'!O57</f>
        <v>0</v>
      </c>
      <c r="R151" s="19">
        <f ca="1">'2ER PERIODOADMINISTRACION'!P57</f>
        <v>0</v>
      </c>
      <c r="S151" s="19">
        <f ca="1">'2ER PERIODOADMINISTRACION'!Q57</f>
        <v>0</v>
      </c>
      <c r="T151" s="19">
        <f ca="1">'2ER PERIODOADMINISTRACION'!R57</f>
        <v>0</v>
      </c>
      <c r="U151" s="21">
        <f ca="1">'2ER PERIODOADMINISTRACION'!S57</f>
        <v>0</v>
      </c>
    </row>
    <row r="152" spans="1:21" ht="39.75" customHeight="1">
      <c r="A152" s="53"/>
      <c r="B152" s="53"/>
      <c r="C152" s="7" t="s">
        <v>190</v>
      </c>
      <c r="D152" s="32">
        <v>232</v>
      </c>
      <c r="E152" s="16" t="str">
        <f ca="1">'1ER PERIODOADMINISTRACION'!C58</f>
        <v>TRASLADOS REALIZADOS</v>
      </c>
      <c r="F152" s="16" t="str">
        <f ca="1">'1ER PERIODOADMINISTRACION'!D58</f>
        <v>ASCENDENTE</v>
      </c>
      <c r="G152" s="16" t="str">
        <f ca="1">'1ER PERIODOADMINISTRACION'!E58</f>
        <v>BITACORA OPERATIVA</v>
      </c>
      <c r="H152" s="18">
        <f ca="1">'2ER PERIODOADMINISTRACION'!F58</f>
        <v>0</v>
      </c>
      <c r="I152" s="19">
        <f ca="1">'2ER PERIODOADMINISTRACION'!G58</f>
        <v>0</v>
      </c>
      <c r="J152" s="19">
        <f ca="1">'2ER PERIODOADMINISTRACION'!H58</f>
        <v>0</v>
      </c>
      <c r="K152" s="19">
        <f ca="1">'2ER PERIODOADMINISTRACION'!I58</f>
        <v>0</v>
      </c>
      <c r="L152" s="19">
        <f ca="1">'2ER PERIODOADMINISTRACION'!J58</f>
        <v>0</v>
      </c>
      <c r="M152" s="19">
        <f ca="1">'2ER PERIODOADMINISTRACION'!K58</f>
        <v>0</v>
      </c>
      <c r="N152" s="19">
        <f ca="1">'2ER PERIODOADMINISTRACION'!L58</f>
        <v>0</v>
      </c>
      <c r="O152" s="19">
        <f ca="1">'2ER PERIODOADMINISTRACION'!M58</f>
        <v>0</v>
      </c>
      <c r="P152" s="19">
        <f ca="1">'2ER PERIODOADMINISTRACION'!N58</f>
        <v>0</v>
      </c>
      <c r="Q152" s="19">
        <f ca="1">'2ER PERIODOADMINISTRACION'!O58</f>
        <v>0</v>
      </c>
      <c r="R152" s="19">
        <f ca="1">'2ER PERIODOADMINISTRACION'!P58</f>
        <v>0</v>
      </c>
      <c r="S152" s="19">
        <f ca="1">'2ER PERIODOADMINISTRACION'!Q58</f>
        <v>0</v>
      </c>
      <c r="T152" s="19">
        <f ca="1">'2ER PERIODOADMINISTRACION'!R58</f>
        <v>0</v>
      </c>
      <c r="U152" s="21">
        <f ca="1">'2ER PERIODOADMINISTRACION'!S58</f>
        <v>0</v>
      </c>
    </row>
    <row r="153" spans="1:21" ht="39.75" customHeight="1">
      <c r="A153" s="53"/>
      <c r="B153" s="53"/>
      <c r="C153" s="7" t="s">
        <v>191</v>
      </c>
      <c r="D153" s="32">
        <v>2</v>
      </c>
      <c r="E153" s="16" t="str">
        <f ca="1">'1ER PERIODOADMINISTRACION'!C59</f>
        <v>CAMPAÑAS DE PREVENCION PUBLICA REALIZADAS</v>
      </c>
      <c r="F153" s="16" t="str">
        <f ca="1">'1ER PERIODOADMINISTRACION'!D59</f>
        <v>ASCENDENTE</v>
      </c>
      <c r="G153" s="16" t="str">
        <f ca="1">'1ER PERIODOADMINISTRACION'!E59</f>
        <v>BITACORA OPERATIVA</v>
      </c>
      <c r="H153" s="18">
        <f ca="1">'2ER PERIODOADMINISTRACION'!F59</f>
        <v>0</v>
      </c>
      <c r="I153" s="19">
        <f ca="1">'2ER PERIODOADMINISTRACION'!G59</f>
        <v>0</v>
      </c>
      <c r="J153" s="19">
        <f ca="1">'2ER PERIODOADMINISTRACION'!H59</f>
        <v>0</v>
      </c>
      <c r="K153" s="19">
        <f ca="1">'2ER PERIODOADMINISTRACION'!I59</f>
        <v>0</v>
      </c>
      <c r="L153" s="19">
        <f ca="1">'2ER PERIODOADMINISTRACION'!J59</f>
        <v>0</v>
      </c>
      <c r="M153" s="19">
        <f ca="1">'2ER PERIODOADMINISTRACION'!K59</f>
        <v>0</v>
      </c>
      <c r="N153" s="19">
        <f ca="1">'2ER PERIODOADMINISTRACION'!L59</f>
        <v>0</v>
      </c>
      <c r="O153" s="19">
        <f ca="1">'2ER PERIODOADMINISTRACION'!M59</f>
        <v>0</v>
      </c>
      <c r="P153" s="19">
        <f ca="1">'2ER PERIODOADMINISTRACION'!N59</f>
        <v>0</v>
      </c>
      <c r="Q153" s="19">
        <f ca="1">'2ER PERIODOADMINISTRACION'!O59</f>
        <v>0</v>
      </c>
      <c r="R153" s="19">
        <f ca="1">'2ER PERIODOADMINISTRACION'!P59</f>
        <v>0</v>
      </c>
      <c r="S153" s="19">
        <f ca="1">'2ER PERIODOADMINISTRACION'!Q59</f>
        <v>0</v>
      </c>
      <c r="T153" s="19">
        <f ca="1">'2ER PERIODOADMINISTRACION'!R59</f>
        <v>0</v>
      </c>
      <c r="U153" s="21">
        <f ca="1">'2ER PERIODOADMINISTRACION'!S59</f>
        <v>0</v>
      </c>
    </row>
    <row r="154" spans="1:21" ht="39.75" customHeight="1">
      <c r="A154" s="53"/>
      <c r="B154" s="53"/>
      <c r="C154" s="7" t="s">
        <v>192</v>
      </c>
      <c r="D154" s="32">
        <v>30</v>
      </c>
      <c r="E154" s="16" t="str">
        <f ca="1">'1ER PERIODOADMINISTRACION'!C60</f>
        <v>CAMPAÑAS DE VACUNACION REALIZADAS</v>
      </c>
      <c r="F154" s="16" t="str">
        <f ca="1">'1ER PERIODOADMINISTRACION'!D60</f>
        <v>ASCENDENTE</v>
      </c>
      <c r="G154" s="16" t="str">
        <f ca="1">'1ER PERIODOADMINISTRACION'!E60</f>
        <v>BITACORA OPERATIVA</v>
      </c>
      <c r="H154" s="18">
        <f ca="1">'2ER PERIODOADMINISTRACION'!F60</f>
        <v>0</v>
      </c>
      <c r="I154" s="19">
        <f ca="1">'2ER PERIODOADMINISTRACION'!G60</f>
        <v>0</v>
      </c>
      <c r="J154" s="19">
        <f ca="1">'2ER PERIODOADMINISTRACION'!H60</f>
        <v>0</v>
      </c>
      <c r="K154" s="19">
        <f ca="1">'2ER PERIODOADMINISTRACION'!I60</f>
        <v>0</v>
      </c>
      <c r="L154" s="19">
        <f ca="1">'2ER PERIODOADMINISTRACION'!J60</f>
        <v>0</v>
      </c>
      <c r="M154" s="19">
        <f ca="1">'2ER PERIODOADMINISTRACION'!K60</f>
        <v>0</v>
      </c>
      <c r="N154" s="19">
        <f ca="1">'2ER PERIODOADMINISTRACION'!L60</f>
        <v>0</v>
      </c>
      <c r="O154" s="19">
        <f ca="1">'2ER PERIODOADMINISTRACION'!M60</f>
        <v>0</v>
      </c>
      <c r="P154" s="19">
        <f ca="1">'2ER PERIODOADMINISTRACION'!N60</f>
        <v>0</v>
      </c>
      <c r="Q154" s="19">
        <f ca="1">'2ER PERIODOADMINISTRACION'!O60</f>
        <v>0</v>
      </c>
      <c r="R154" s="19">
        <f ca="1">'2ER PERIODOADMINISTRACION'!P60</f>
        <v>0</v>
      </c>
      <c r="S154" s="19">
        <f ca="1">'2ER PERIODOADMINISTRACION'!Q60</f>
        <v>0</v>
      </c>
      <c r="T154" s="19">
        <f ca="1">'2ER PERIODOADMINISTRACION'!R60</f>
        <v>0</v>
      </c>
      <c r="U154" s="21">
        <f ca="1">'2ER PERIODOADMINISTRACION'!S60</f>
        <v>0</v>
      </c>
    </row>
    <row r="155" spans="1:21" ht="39.75" customHeight="1">
      <c r="A155" s="53"/>
      <c r="B155" s="53"/>
      <c r="C155" s="7" t="s">
        <v>193</v>
      </c>
      <c r="D155" s="32">
        <v>5951</v>
      </c>
      <c r="E155" s="16" t="str">
        <f ca="1">'1ER PERIODOADMINISTRACION'!C61</f>
        <v>PERSONAS VACUNADAS</v>
      </c>
      <c r="F155" s="16" t="str">
        <f ca="1">'1ER PERIODOADMINISTRACION'!D61</f>
        <v>ASCENDENTE</v>
      </c>
      <c r="G155" s="16" t="str">
        <f ca="1">'1ER PERIODOADMINISTRACION'!E61</f>
        <v>BITACORA OPERATIVA</v>
      </c>
      <c r="H155" s="18">
        <f ca="1">'2ER PERIODOADMINISTRACION'!F61</f>
        <v>0</v>
      </c>
      <c r="I155" s="19">
        <f ca="1">'2ER PERIODOADMINISTRACION'!G61</f>
        <v>0</v>
      </c>
      <c r="J155" s="19">
        <f ca="1">'2ER PERIODOADMINISTRACION'!H61</f>
        <v>0</v>
      </c>
      <c r="K155" s="19">
        <f ca="1">'2ER PERIODOADMINISTRACION'!I61</f>
        <v>0</v>
      </c>
      <c r="L155" s="19">
        <f ca="1">'2ER PERIODOADMINISTRACION'!J61</f>
        <v>0</v>
      </c>
      <c r="M155" s="19">
        <f ca="1">'2ER PERIODOADMINISTRACION'!K61</f>
        <v>0</v>
      </c>
      <c r="N155" s="19">
        <f ca="1">'2ER PERIODOADMINISTRACION'!L61</f>
        <v>0</v>
      </c>
      <c r="O155" s="19">
        <f ca="1">'2ER PERIODOADMINISTRACION'!M61</f>
        <v>0</v>
      </c>
      <c r="P155" s="19">
        <f ca="1">'2ER PERIODOADMINISTRACION'!N61</f>
        <v>0</v>
      </c>
      <c r="Q155" s="19">
        <f ca="1">'2ER PERIODOADMINISTRACION'!O61</f>
        <v>0</v>
      </c>
      <c r="R155" s="19">
        <f ca="1">'2ER PERIODOADMINISTRACION'!P61</f>
        <v>0</v>
      </c>
      <c r="S155" s="19">
        <f ca="1">'2ER PERIODOADMINISTRACION'!Q61</f>
        <v>0</v>
      </c>
      <c r="T155" s="19">
        <f ca="1">'2ER PERIODOADMINISTRACION'!R61</f>
        <v>0</v>
      </c>
      <c r="U155" s="21">
        <f ca="1">'2ER PERIODOADMINISTRACION'!S61</f>
        <v>0</v>
      </c>
    </row>
    <row r="156" spans="1:21" ht="39.75" customHeight="1">
      <c r="A156" s="53"/>
      <c r="B156" s="53"/>
      <c r="C156" s="7" t="s">
        <v>194</v>
      </c>
      <c r="D156" s="32">
        <v>142</v>
      </c>
      <c r="E156" s="16" t="str">
        <f ca="1">'1ER PERIODOADMINISTRACION'!C62</f>
        <v>ANALISIS CLINICOS REALIZADOS (DERIVADOS)</v>
      </c>
      <c r="F156" s="16" t="str">
        <f ca="1">'1ER PERIODOADMINISTRACION'!D62</f>
        <v>ASCENDENTE</v>
      </c>
      <c r="G156" s="16" t="str">
        <f ca="1">'1ER PERIODOADMINISTRACION'!E62</f>
        <v>BITACORA OPERATIVA</v>
      </c>
      <c r="H156" s="18">
        <f ca="1">'2ER PERIODOADMINISTRACION'!F62</f>
        <v>0</v>
      </c>
      <c r="I156" s="19">
        <f ca="1">'2ER PERIODOADMINISTRACION'!G62</f>
        <v>0</v>
      </c>
      <c r="J156" s="19">
        <f ca="1">'2ER PERIODOADMINISTRACION'!H62</f>
        <v>0</v>
      </c>
      <c r="K156" s="19">
        <f ca="1">'2ER PERIODOADMINISTRACION'!I62</f>
        <v>0</v>
      </c>
      <c r="L156" s="19">
        <f ca="1">'2ER PERIODOADMINISTRACION'!J62</f>
        <v>0</v>
      </c>
      <c r="M156" s="19">
        <f ca="1">'2ER PERIODOADMINISTRACION'!K62</f>
        <v>0</v>
      </c>
      <c r="N156" s="19">
        <f ca="1">'2ER PERIODOADMINISTRACION'!L62</f>
        <v>0</v>
      </c>
      <c r="O156" s="19">
        <f ca="1">'2ER PERIODOADMINISTRACION'!M62</f>
        <v>0</v>
      </c>
      <c r="P156" s="19">
        <f ca="1">'2ER PERIODOADMINISTRACION'!N62</f>
        <v>0</v>
      </c>
      <c r="Q156" s="19">
        <f ca="1">'2ER PERIODOADMINISTRACION'!O62</f>
        <v>0</v>
      </c>
      <c r="R156" s="19">
        <f ca="1">'2ER PERIODOADMINISTRACION'!P62</f>
        <v>0</v>
      </c>
      <c r="S156" s="19">
        <f ca="1">'2ER PERIODOADMINISTRACION'!Q62</f>
        <v>0</v>
      </c>
      <c r="T156" s="19">
        <f ca="1">'2ER PERIODOADMINISTRACION'!R62</f>
        <v>0</v>
      </c>
      <c r="U156" s="21">
        <f ca="1">'2ER PERIODOADMINISTRACION'!S62</f>
        <v>0</v>
      </c>
    </row>
    <row r="157" spans="1:21" ht="39.75" customHeight="1">
      <c r="A157" s="53"/>
      <c r="B157" s="53"/>
      <c r="C157" s="7" t="s">
        <v>195</v>
      </c>
      <c r="D157" s="32">
        <v>12282</v>
      </c>
      <c r="E157" s="16" t="str">
        <f ca="1">'1ER PERIODOADMINISTRACION'!C63</f>
        <v>APOYOS</v>
      </c>
      <c r="F157" s="16" t="str">
        <f ca="1">'1ER PERIODOADMINISTRACION'!D63</f>
        <v>ASCENDENTE</v>
      </c>
      <c r="G157" s="16" t="str">
        <f ca="1">'1ER PERIODOADMINISTRACION'!E63</f>
        <v>BITACORA OPERATIVA</v>
      </c>
      <c r="H157" s="18">
        <f ca="1">'2ER PERIODOADMINISTRACION'!F63</f>
        <v>0</v>
      </c>
      <c r="I157" s="19">
        <f ca="1">'2ER PERIODOADMINISTRACION'!G63</f>
        <v>0</v>
      </c>
      <c r="J157" s="19">
        <f ca="1">'2ER PERIODOADMINISTRACION'!H63</f>
        <v>0</v>
      </c>
      <c r="K157" s="19">
        <f ca="1">'2ER PERIODOADMINISTRACION'!I63</f>
        <v>0</v>
      </c>
      <c r="L157" s="19">
        <f ca="1">'2ER PERIODOADMINISTRACION'!J63</f>
        <v>0</v>
      </c>
      <c r="M157" s="19">
        <f ca="1">'2ER PERIODOADMINISTRACION'!K63</f>
        <v>0</v>
      </c>
      <c r="N157" s="19">
        <f ca="1">'2ER PERIODOADMINISTRACION'!L63</f>
        <v>0</v>
      </c>
      <c r="O157" s="19">
        <f ca="1">'2ER PERIODOADMINISTRACION'!M63</f>
        <v>0</v>
      </c>
      <c r="P157" s="19">
        <f ca="1">'2ER PERIODOADMINISTRACION'!N63</f>
        <v>0</v>
      </c>
      <c r="Q157" s="19">
        <f ca="1">'2ER PERIODOADMINISTRACION'!O63</f>
        <v>0</v>
      </c>
      <c r="R157" s="19">
        <f ca="1">'2ER PERIODOADMINISTRACION'!P63</f>
        <v>0</v>
      </c>
      <c r="S157" s="19">
        <f ca="1">'2ER PERIODOADMINISTRACION'!Q63</f>
        <v>0</v>
      </c>
      <c r="T157" s="19">
        <f ca="1">'2ER PERIODOADMINISTRACION'!R63</f>
        <v>0</v>
      </c>
      <c r="U157" s="21">
        <f ca="1">'2ER PERIODOADMINISTRACION'!S63</f>
        <v>0</v>
      </c>
    </row>
    <row r="158" spans="1:21" ht="39.75" customHeight="1">
      <c r="A158" s="53"/>
      <c r="B158" s="53"/>
      <c r="C158" s="7" t="s">
        <v>196</v>
      </c>
      <c r="D158" s="32">
        <v>5956</v>
      </c>
      <c r="E158" s="16" t="str">
        <f ca="1">'1ER PERIODOADMINISTRACION'!C64</f>
        <v>EVALUACIONES REALIZADAS</v>
      </c>
      <c r="F158" s="16" t="str">
        <f ca="1">'1ER PERIODOADMINISTRACION'!D64</f>
        <v>ASCENDENTE</v>
      </c>
      <c r="G158" s="16" t="str">
        <f ca="1">'1ER PERIODOADMINISTRACION'!E64</f>
        <v>BITACORA OPERATIVA</v>
      </c>
      <c r="H158" s="18">
        <f ca="1">'2ER PERIODOADMINISTRACION'!F64</f>
        <v>0</v>
      </c>
      <c r="I158" s="19">
        <f ca="1">'2ER PERIODOADMINISTRACION'!G64</f>
        <v>0</v>
      </c>
      <c r="J158" s="19">
        <f ca="1">'2ER PERIODOADMINISTRACION'!H64</f>
        <v>0</v>
      </c>
      <c r="K158" s="19">
        <f ca="1">'2ER PERIODOADMINISTRACION'!I64</f>
        <v>0</v>
      </c>
      <c r="L158" s="19">
        <f ca="1">'2ER PERIODOADMINISTRACION'!J64</f>
        <v>0</v>
      </c>
      <c r="M158" s="19">
        <f ca="1">'2ER PERIODOADMINISTRACION'!K64</f>
        <v>0</v>
      </c>
      <c r="N158" s="19">
        <f ca="1">'2ER PERIODOADMINISTRACION'!L64</f>
        <v>0</v>
      </c>
      <c r="O158" s="19">
        <f ca="1">'2ER PERIODOADMINISTRACION'!M64</f>
        <v>0</v>
      </c>
      <c r="P158" s="19">
        <f ca="1">'2ER PERIODOADMINISTRACION'!N64</f>
        <v>0</v>
      </c>
      <c r="Q158" s="19">
        <f ca="1">'2ER PERIODOADMINISTRACION'!O64</f>
        <v>0</v>
      </c>
      <c r="R158" s="19">
        <f ca="1">'2ER PERIODOADMINISTRACION'!P64</f>
        <v>0</v>
      </c>
      <c r="S158" s="19">
        <f ca="1">'2ER PERIODOADMINISTRACION'!Q64</f>
        <v>0</v>
      </c>
      <c r="T158" s="19">
        <f ca="1">'2ER PERIODOADMINISTRACION'!R64</f>
        <v>0</v>
      </c>
      <c r="U158" s="21">
        <f ca="1">'2ER PERIODOADMINISTRACION'!S64</f>
        <v>0</v>
      </c>
    </row>
    <row r="159" spans="1:21" ht="39.75" customHeight="1">
      <c r="A159" s="53"/>
      <c r="B159" s="53"/>
      <c r="C159" s="7" t="s">
        <v>197</v>
      </c>
      <c r="D159" s="32">
        <v>2528</v>
      </c>
      <c r="E159" s="16" t="str">
        <f ca="1">'1ER PERIODOADMINISTRACION'!C65</f>
        <v>EXAMENES MEDICOS REALIZADOS</v>
      </c>
      <c r="F159" s="16" t="str">
        <f ca="1">'1ER PERIODOADMINISTRACION'!D65</f>
        <v>ASCENDENTE</v>
      </c>
      <c r="G159" s="16" t="str">
        <f ca="1">'1ER PERIODOADMINISTRACION'!E65</f>
        <v>BITACORA OPERATIVA</v>
      </c>
      <c r="H159" s="18">
        <f ca="1">'2ER PERIODOADMINISTRACION'!F65</f>
        <v>0</v>
      </c>
      <c r="I159" s="19">
        <f ca="1">'2ER PERIODOADMINISTRACION'!G65</f>
        <v>0</v>
      </c>
      <c r="J159" s="19">
        <f ca="1">'2ER PERIODOADMINISTRACION'!H65</f>
        <v>0</v>
      </c>
      <c r="K159" s="19">
        <f ca="1">'2ER PERIODOADMINISTRACION'!I65</f>
        <v>0</v>
      </c>
      <c r="L159" s="19">
        <f ca="1">'2ER PERIODOADMINISTRACION'!J65</f>
        <v>0</v>
      </c>
      <c r="M159" s="19">
        <f ca="1">'2ER PERIODOADMINISTRACION'!K65</f>
        <v>0</v>
      </c>
      <c r="N159" s="19">
        <f ca="1">'2ER PERIODOADMINISTRACION'!L65</f>
        <v>0</v>
      </c>
      <c r="O159" s="19">
        <f ca="1">'2ER PERIODOADMINISTRACION'!M65</f>
        <v>0</v>
      </c>
      <c r="P159" s="19">
        <f ca="1">'2ER PERIODOADMINISTRACION'!N65</f>
        <v>0</v>
      </c>
      <c r="Q159" s="19">
        <f ca="1">'2ER PERIODOADMINISTRACION'!O65</f>
        <v>0</v>
      </c>
      <c r="R159" s="19">
        <f ca="1">'2ER PERIODOADMINISTRACION'!P65</f>
        <v>0</v>
      </c>
      <c r="S159" s="19">
        <f ca="1">'2ER PERIODOADMINISTRACION'!Q65</f>
        <v>0</v>
      </c>
      <c r="T159" s="19">
        <f ca="1">'2ER PERIODOADMINISTRACION'!R65</f>
        <v>0</v>
      </c>
      <c r="U159" s="21">
        <f ca="1">'2ER PERIODOADMINISTRACION'!S65</f>
        <v>0</v>
      </c>
    </row>
    <row r="160" spans="1:21" ht="39.75" customHeight="1">
      <c r="A160" s="53"/>
      <c r="B160" s="53"/>
      <c r="C160" s="7" t="s">
        <v>198</v>
      </c>
      <c r="D160" s="32">
        <v>878</v>
      </c>
      <c r="E160" s="16" t="str">
        <f ca="1">'1ER PERIODOADMINISTRACION'!C66</f>
        <v>CONSULTAS</v>
      </c>
      <c r="F160" s="16" t="str">
        <f ca="1">'1ER PERIODOADMINISTRACION'!D66</f>
        <v>ASCENDENTE</v>
      </c>
      <c r="G160" s="16" t="str">
        <f ca="1">'1ER PERIODOADMINISTRACION'!E66</f>
        <v>BITACORA OPERATIVA</v>
      </c>
      <c r="H160" s="18">
        <f ca="1">'2ER PERIODOADMINISTRACION'!F66</f>
        <v>0</v>
      </c>
      <c r="I160" s="19">
        <f ca="1">'2ER PERIODOADMINISTRACION'!G66</f>
        <v>0</v>
      </c>
      <c r="J160" s="19">
        <f ca="1">'2ER PERIODOADMINISTRACION'!H66</f>
        <v>0</v>
      </c>
      <c r="K160" s="19">
        <f ca="1">'2ER PERIODOADMINISTRACION'!I66</f>
        <v>0</v>
      </c>
      <c r="L160" s="19">
        <f ca="1">'2ER PERIODOADMINISTRACION'!J66</f>
        <v>0</v>
      </c>
      <c r="M160" s="19">
        <f ca="1">'2ER PERIODOADMINISTRACION'!K66</f>
        <v>0</v>
      </c>
      <c r="N160" s="19">
        <f ca="1">'2ER PERIODOADMINISTRACION'!L66</f>
        <v>0</v>
      </c>
      <c r="O160" s="19">
        <f ca="1">'2ER PERIODOADMINISTRACION'!M66</f>
        <v>0</v>
      </c>
      <c r="P160" s="19">
        <f ca="1">'2ER PERIODOADMINISTRACION'!N66</f>
        <v>0</v>
      </c>
      <c r="Q160" s="19">
        <f ca="1">'2ER PERIODOADMINISTRACION'!O66</f>
        <v>0</v>
      </c>
      <c r="R160" s="19">
        <f ca="1">'2ER PERIODOADMINISTRACION'!P66</f>
        <v>0</v>
      </c>
      <c r="S160" s="19">
        <f ca="1">'2ER PERIODOADMINISTRACION'!Q66</f>
        <v>0</v>
      </c>
      <c r="T160" s="19">
        <f ca="1">'2ER PERIODOADMINISTRACION'!R66</f>
        <v>0</v>
      </c>
      <c r="U160" s="21">
        <f ca="1">'2ER PERIODOADMINISTRACION'!S66</f>
        <v>0</v>
      </c>
    </row>
    <row r="161" spans="1:21" ht="39.75" customHeight="1">
      <c r="A161" s="53"/>
      <c r="B161" s="53"/>
      <c r="C161" s="7" t="s">
        <v>199</v>
      </c>
      <c r="D161" s="32">
        <v>2801</v>
      </c>
      <c r="E161" s="16" t="str">
        <f ca="1">'1ER PERIODOADMINISTRACION'!C67</f>
        <v>CASOS DE URGENCIAS DERIVADOS</v>
      </c>
      <c r="F161" s="16" t="str">
        <f ca="1">'1ER PERIODOADMINISTRACION'!D67</f>
        <v>ASCENDENTE</v>
      </c>
      <c r="G161" s="16" t="str">
        <f ca="1">'1ER PERIODOADMINISTRACION'!E67</f>
        <v>BITACORA OPERATIVA</v>
      </c>
      <c r="H161" s="18">
        <f ca="1">'2ER PERIODOADMINISTRACION'!F67</f>
        <v>0</v>
      </c>
      <c r="I161" s="19">
        <f ca="1">'2ER PERIODOADMINISTRACION'!G67</f>
        <v>0</v>
      </c>
      <c r="J161" s="19">
        <f ca="1">'2ER PERIODOADMINISTRACION'!H67</f>
        <v>0</v>
      </c>
      <c r="K161" s="19">
        <f ca="1">'2ER PERIODOADMINISTRACION'!I67</f>
        <v>0</v>
      </c>
      <c r="L161" s="19">
        <f ca="1">'2ER PERIODOADMINISTRACION'!J67</f>
        <v>0</v>
      </c>
      <c r="M161" s="19">
        <f ca="1">'2ER PERIODOADMINISTRACION'!K67</f>
        <v>0</v>
      </c>
      <c r="N161" s="19">
        <f ca="1">'2ER PERIODOADMINISTRACION'!L67</f>
        <v>0</v>
      </c>
      <c r="O161" s="19">
        <f ca="1">'2ER PERIODOADMINISTRACION'!M67</f>
        <v>0</v>
      </c>
      <c r="P161" s="19">
        <f ca="1">'2ER PERIODOADMINISTRACION'!N67</f>
        <v>0</v>
      </c>
      <c r="Q161" s="19">
        <f ca="1">'2ER PERIODOADMINISTRACION'!O67</f>
        <v>0</v>
      </c>
      <c r="R161" s="19">
        <f ca="1">'2ER PERIODOADMINISTRACION'!P67</f>
        <v>0</v>
      </c>
      <c r="S161" s="19">
        <f ca="1">'2ER PERIODOADMINISTRACION'!Q67</f>
        <v>0</v>
      </c>
      <c r="T161" s="19">
        <f ca="1">'2ER PERIODOADMINISTRACION'!R67</f>
        <v>0</v>
      </c>
      <c r="U161" s="21">
        <f ca="1">'2ER PERIODOADMINISTRACION'!S67</f>
        <v>0</v>
      </c>
    </row>
    <row r="162" spans="1:21" ht="39.75" customHeight="1">
      <c r="A162" s="53"/>
      <c r="B162" s="53"/>
      <c r="C162" s="7" t="s">
        <v>200</v>
      </c>
      <c r="D162" s="32">
        <v>639</v>
      </c>
      <c r="E162" s="16" t="str">
        <f ca="1">'1ER PERIODOADMINISTRACION'!C68</f>
        <v xml:space="preserve"> CONSULTAS NUTRICIONALES REALIZADAS</v>
      </c>
      <c r="F162" s="16" t="str">
        <f ca="1">'1ER PERIODOADMINISTRACION'!D68</f>
        <v>ASCENDENTE</v>
      </c>
      <c r="G162" s="16" t="str">
        <f ca="1">'1ER PERIODOADMINISTRACION'!E68</f>
        <v>BITACORA OPERATIVA</v>
      </c>
      <c r="H162" s="18">
        <f ca="1">'2ER PERIODOADMINISTRACION'!F68</f>
        <v>0</v>
      </c>
      <c r="I162" s="19">
        <f ca="1">'2ER PERIODOADMINISTRACION'!G68</f>
        <v>0</v>
      </c>
      <c r="J162" s="19">
        <f ca="1">'2ER PERIODOADMINISTRACION'!H68</f>
        <v>0</v>
      </c>
      <c r="K162" s="19">
        <f ca="1">'2ER PERIODOADMINISTRACION'!I68</f>
        <v>0</v>
      </c>
      <c r="L162" s="19">
        <f ca="1">'2ER PERIODOADMINISTRACION'!J68</f>
        <v>0</v>
      </c>
      <c r="M162" s="19">
        <f ca="1">'2ER PERIODOADMINISTRACION'!K68</f>
        <v>0</v>
      </c>
      <c r="N162" s="19">
        <f ca="1">'2ER PERIODOADMINISTRACION'!L68</f>
        <v>0</v>
      </c>
      <c r="O162" s="19">
        <f ca="1">'2ER PERIODOADMINISTRACION'!M68</f>
        <v>0</v>
      </c>
      <c r="P162" s="19">
        <f ca="1">'2ER PERIODOADMINISTRACION'!N68</f>
        <v>0</v>
      </c>
      <c r="Q162" s="19">
        <f ca="1">'2ER PERIODOADMINISTRACION'!O68</f>
        <v>0</v>
      </c>
      <c r="R162" s="19">
        <f ca="1">'2ER PERIODOADMINISTRACION'!P68</f>
        <v>0</v>
      </c>
      <c r="S162" s="19">
        <f ca="1">'2ER PERIODOADMINISTRACION'!Q68</f>
        <v>0</v>
      </c>
      <c r="T162" s="19">
        <f ca="1">'2ER PERIODOADMINISTRACION'!R68</f>
        <v>0</v>
      </c>
      <c r="U162" s="21">
        <f ca="1">'2ER PERIODOADMINISTRACION'!S68</f>
        <v>0</v>
      </c>
    </row>
    <row r="163" spans="1:21" ht="39.75" customHeight="1">
      <c r="A163" s="53"/>
      <c r="B163" s="53"/>
      <c r="C163" s="7" t="s">
        <v>201</v>
      </c>
      <c r="D163" s="32">
        <v>350</v>
      </c>
      <c r="E163" s="16" t="str">
        <f ca="1">'1ER PERIODOADMINISTRACION'!C69</f>
        <v>CONSULTAS DENTALES REALIZADAS A TRABAJADORES DEL AYUNTAMIENTO</v>
      </c>
      <c r="F163" s="16" t="str">
        <f ca="1">'1ER PERIODOADMINISTRACION'!D69</f>
        <v>ASCENDENTE</v>
      </c>
      <c r="G163" s="16" t="str">
        <f ca="1">'1ER PERIODOADMINISTRACION'!E69</f>
        <v>BITACORA OPERATIVA</v>
      </c>
      <c r="H163" s="18">
        <f ca="1">'2ER PERIODOADMINISTRACION'!F69</f>
        <v>0</v>
      </c>
      <c r="I163" s="19">
        <f ca="1">'2ER PERIODOADMINISTRACION'!G69</f>
        <v>0</v>
      </c>
      <c r="J163" s="19">
        <f ca="1">'2ER PERIODOADMINISTRACION'!H69</f>
        <v>0</v>
      </c>
      <c r="K163" s="19">
        <f ca="1">'2ER PERIODOADMINISTRACION'!I69</f>
        <v>0</v>
      </c>
      <c r="L163" s="19">
        <f ca="1">'2ER PERIODOADMINISTRACION'!J69</f>
        <v>0</v>
      </c>
      <c r="M163" s="19">
        <f ca="1">'2ER PERIODOADMINISTRACION'!K69</f>
        <v>0</v>
      </c>
      <c r="N163" s="19">
        <f ca="1">'2ER PERIODOADMINISTRACION'!L69</f>
        <v>0</v>
      </c>
      <c r="O163" s="19">
        <f ca="1">'2ER PERIODOADMINISTRACION'!M69</f>
        <v>0</v>
      </c>
      <c r="P163" s="19">
        <f ca="1">'2ER PERIODOADMINISTRACION'!N69</f>
        <v>0</v>
      </c>
      <c r="Q163" s="19">
        <f ca="1">'2ER PERIODOADMINISTRACION'!O69</f>
        <v>0</v>
      </c>
      <c r="R163" s="19">
        <f ca="1">'2ER PERIODOADMINISTRACION'!P69</f>
        <v>0</v>
      </c>
      <c r="S163" s="19">
        <f ca="1">'2ER PERIODOADMINISTRACION'!Q69</f>
        <v>0</v>
      </c>
      <c r="T163" s="19">
        <f ca="1">'2ER PERIODOADMINISTRACION'!R69</f>
        <v>0</v>
      </c>
      <c r="U163" s="21">
        <f ca="1">'2ER PERIODOADMINISTRACION'!S69</f>
        <v>0</v>
      </c>
    </row>
    <row r="164" spans="1:21" ht="39.75" customHeight="1">
      <c r="A164" s="53"/>
      <c r="B164" s="53"/>
      <c r="C164" s="7" t="s">
        <v>202</v>
      </c>
      <c r="D164" s="32">
        <v>18170</v>
      </c>
      <c r="E164" s="16" t="str">
        <f ca="1">'1ER PERIODOADMINISTRACION'!C70</f>
        <v>CONSULTAS DENTALES REALIZADAS A POBLACION ABIERTA</v>
      </c>
      <c r="F164" s="16" t="str">
        <f ca="1">'1ER PERIODOADMINISTRACION'!D70</f>
        <v>ASCENDENTE</v>
      </c>
      <c r="G164" s="16" t="str">
        <f ca="1">'1ER PERIODOADMINISTRACION'!E70</f>
        <v>BITACORA OPERATIVA</v>
      </c>
      <c r="H164" s="18">
        <f ca="1">'2ER PERIODOADMINISTRACION'!F70</f>
        <v>0</v>
      </c>
      <c r="I164" s="19">
        <f ca="1">'2ER PERIODOADMINISTRACION'!G70</f>
        <v>0</v>
      </c>
      <c r="J164" s="19">
        <f ca="1">'2ER PERIODOADMINISTRACION'!H70</f>
        <v>0</v>
      </c>
      <c r="K164" s="19">
        <f ca="1">'2ER PERIODOADMINISTRACION'!I70</f>
        <v>0</v>
      </c>
      <c r="L164" s="19">
        <f ca="1">'2ER PERIODOADMINISTRACION'!J70</f>
        <v>0</v>
      </c>
      <c r="M164" s="19">
        <f ca="1">'2ER PERIODOADMINISTRACION'!K70</f>
        <v>0</v>
      </c>
      <c r="N164" s="19">
        <f ca="1">'2ER PERIODOADMINISTRACION'!L70</f>
        <v>0</v>
      </c>
      <c r="O164" s="19">
        <f ca="1">'2ER PERIODOADMINISTRACION'!M70</f>
        <v>0</v>
      </c>
      <c r="P164" s="19">
        <f ca="1">'2ER PERIODOADMINISTRACION'!N70</f>
        <v>0</v>
      </c>
      <c r="Q164" s="19">
        <f ca="1">'2ER PERIODOADMINISTRACION'!O70</f>
        <v>0</v>
      </c>
      <c r="R164" s="19">
        <f ca="1">'2ER PERIODOADMINISTRACION'!P70</f>
        <v>0</v>
      </c>
      <c r="S164" s="19">
        <f ca="1">'2ER PERIODOADMINISTRACION'!Q70</f>
        <v>0</v>
      </c>
      <c r="T164" s="19">
        <f ca="1">'2ER PERIODOADMINISTRACION'!R70</f>
        <v>0</v>
      </c>
      <c r="U164" s="21">
        <f ca="1">'2ER PERIODOADMINISTRACION'!S70</f>
        <v>0</v>
      </c>
    </row>
    <row r="165" spans="1:21" ht="39.75" customHeight="1">
      <c r="A165" s="53"/>
      <c r="B165" s="53"/>
      <c r="C165" s="7" t="s">
        <v>203</v>
      </c>
      <c r="D165" s="32">
        <v>8526</v>
      </c>
      <c r="E165" s="16" t="str">
        <f ca="1">'1ER PERIODOADMINISTRACION'!C71</f>
        <v>CONSULTAS MEDICAS REALIZADAS A PERSONAL DEL AYUNTAMIENTO</v>
      </c>
      <c r="F165" s="16" t="str">
        <f ca="1">'1ER PERIODOADMINISTRACION'!D71</f>
        <v>ASCENDENTE</v>
      </c>
      <c r="G165" s="16" t="str">
        <f ca="1">'1ER PERIODOADMINISTRACION'!E71</f>
        <v>BITACORA OPERATIVA</v>
      </c>
      <c r="H165" s="18">
        <f ca="1">'2ER PERIODOADMINISTRACION'!F71</f>
        <v>0</v>
      </c>
      <c r="I165" s="19">
        <f ca="1">'2ER PERIODOADMINISTRACION'!G71</f>
        <v>0</v>
      </c>
      <c r="J165" s="19">
        <f ca="1">'2ER PERIODOADMINISTRACION'!H71</f>
        <v>0</v>
      </c>
      <c r="K165" s="19">
        <f ca="1">'2ER PERIODOADMINISTRACION'!I71</f>
        <v>0</v>
      </c>
      <c r="L165" s="19">
        <f ca="1">'2ER PERIODOADMINISTRACION'!J71</f>
        <v>0</v>
      </c>
      <c r="M165" s="19">
        <f ca="1">'2ER PERIODOADMINISTRACION'!K71</f>
        <v>0</v>
      </c>
      <c r="N165" s="19">
        <f ca="1">'2ER PERIODOADMINISTRACION'!L71</f>
        <v>0</v>
      </c>
      <c r="O165" s="19">
        <f ca="1">'2ER PERIODOADMINISTRACION'!M71</f>
        <v>0</v>
      </c>
      <c r="P165" s="19">
        <f ca="1">'2ER PERIODOADMINISTRACION'!N71</f>
        <v>0</v>
      </c>
      <c r="Q165" s="19">
        <f ca="1">'2ER PERIODOADMINISTRACION'!O71</f>
        <v>0</v>
      </c>
      <c r="R165" s="19">
        <f ca="1">'2ER PERIODOADMINISTRACION'!P71</f>
        <v>0</v>
      </c>
      <c r="S165" s="19">
        <f ca="1">'2ER PERIODOADMINISTRACION'!Q71</f>
        <v>0</v>
      </c>
      <c r="T165" s="19">
        <f ca="1">'2ER PERIODOADMINISTRACION'!R71</f>
        <v>0</v>
      </c>
      <c r="U165" s="21">
        <f ca="1">'2ER PERIODOADMINISTRACION'!S71</f>
        <v>0</v>
      </c>
    </row>
    <row r="166" spans="1:21" ht="39.75" customHeight="1">
      <c r="A166" s="53"/>
      <c r="B166" s="53"/>
      <c r="C166" s="7" t="s">
        <v>204</v>
      </c>
      <c r="D166" s="32">
        <v>1055</v>
      </c>
      <c r="E166" s="16" t="str">
        <f ca="1">'1ER PERIODOADMINISTRACION'!C72</f>
        <v>CONSULTAS MEDICAS REALIZADAS A POBLACION ABIERTA</v>
      </c>
      <c r="F166" s="16" t="str">
        <f ca="1">'1ER PERIODOADMINISTRACION'!D72</f>
        <v>ASCENDENTE</v>
      </c>
      <c r="G166" s="16" t="str">
        <f ca="1">'1ER PERIODOADMINISTRACION'!E72</f>
        <v>BITACORA OPERATIVA</v>
      </c>
      <c r="H166" s="18">
        <f ca="1">'2ER PERIODOADMINISTRACION'!F72</f>
        <v>0</v>
      </c>
      <c r="I166" s="19">
        <f ca="1">'2ER PERIODOADMINISTRACION'!G72</f>
        <v>0</v>
      </c>
      <c r="J166" s="19">
        <f ca="1">'2ER PERIODOADMINISTRACION'!H72</f>
        <v>0</v>
      </c>
      <c r="K166" s="19">
        <f ca="1">'2ER PERIODOADMINISTRACION'!I72</f>
        <v>0</v>
      </c>
      <c r="L166" s="19">
        <f ca="1">'2ER PERIODOADMINISTRACION'!J72</f>
        <v>0</v>
      </c>
      <c r="M166" s="19">
        <f ca="1">'2ER PERIODOADMINISTRACION'!K72</f>
        <v>0</v>
      </c>
      <c r="N166" s="19">
        <f ca="1">'2ER PERIODOADMINISTRACION'!L72</f>
        <v>0</v>
      </c>
      <c r="O166" s="19">
        <f ca="1">'2ER PERIODOADMINISTRACION'!M72</f>
        <v>0</v>
      </c>
      <c r="P166" s="19">
        <f ca="1">'2ER PERIODOADMINISTRACION'!N72</f>
        <v>0</v>
      </c>
      <c r="Q166" s="19">
        <f ca="1">'2ER PERIODOADMINISTRACION'!O72</f>
        <v>0</v>
      </c>
      <c r="R166" s="19">
        <f ca="1">'2ER PERIODOADMINISTRACION'!P72</f>
        <v>0</v>
      </c>
      <c r="S166" s="19">
        <f ca="1">'2ER PERIODOADMINISTRACION'!Q72</f>
        <v>0</v>
      </c>
      <c r="T166" s="19">
        <f ca="1">'2ER PERIODOADMINISTRACION'!R72</f>
        <v>0</v>
      </c>
      <c r="U166" s="21">
        <f ca="1">'2ER PERIODOADMINISTRACION'!S72</f>
        <v>0</v>
      </c>
    </row>
    <row r="167" spans="1:21" ht="39.75" customHeight="1">
      <c r="A167" s="53"/>
      <c r="B167" s="53"/>
      <c r="C167" s="7" t="s">
        <v>205</v>
      </c>
      <c r="D167" s="32">
        <v>5428</v>
      </c>
      <c r="E167" s="16" t="str">
        <f ca="1">'1ER PERIODOADMINISTRACION'!C73</f>
        <v>INCAPACIDADES OTORGADAS A SERVIDORES PUBLICOS</v>
      </c>
      <c r="F167" s="16" t="str">
        <f ca="1">'1ER PERIODOADMINISTRACION'!D73</f>
        <v>DECENDENTE</v>
      </c>
      <c r="G167" s="16" t="str">
        <f ca="1">'1ER PERIODOADMINISTRACION'!E73</f>
        <v>BITACORA OPERATIVA</v>
      </c>
      <c r="H167" s="18">
        <f ca="1">'2ER PERIODOADMINISTRACION'!F73</f>
        <v>0</v>
      </c>
      <c r="I167" s="19">
        <f ca="1">'2ER PERIODOADMINISTRACION'!G73</f>
        <v>0</v>
      </c>
      <c r="J167" s="19">
        <f ca="1">'2ER PERIODOADMINISTRACION'!H73</f>
        <v>0</v>
      </c>
      <c r="K167" s="19">
        <f ca="1">'2ER PERIODOADMINISTRACION'!I73</f>
        <v>0</v>
      </c>
      <c r="L167" s="19">
        <f ca="1">'2ER PERIODOADMINISTRACION'!J73</f>
        <v>0</v>
      </c>
      <c r="M167" s="19">
        <f ca="1">'2ER PERIODOADMINISTRACION'!K73</f>
        <v>0</v>
      </c>
      <c r="N167" s="19">
        <f ca="1">'2ER PERIODOADMINISTRACION'!L73</f>
        <v>0</v>
      </c>
      <c r="O167" s="19">
        <f ca="1">'2ER PERIODOADMINISTRACION'!M73</f>
        <v>0</v>
      </c>
      <c r="P167" s="19">
        <f ca="1">'2ER PERIODOADMINISTRACION'!N73</f>
        <v>0</v>
      </c>
      <c r="Q167" s="19">
        <f ca="1">'2ER PERIODOADMINISTRACION'!O73</f>
        <v>0</v>
      </c>
      <c r="R167" s="19">
        <f ca="1">'2ER PERIODOADMINISTRACION'!P73</f>
        <v>0</v>
      </c>
      <c r="S167" s="19">
        <f ca="1">'2ER PERIODOADMINISTRACION'!Q73</f>
        <v>0</v>
      </c>
      <c r="T167" s="19">
        <f ca="1">'2ER PERIODOADMINISTRACION'!R73</f>
        <v>0</v>
      </c>
      <c r="U167" s="21">
        <f ca="1">'2ER PERIODOADMINISTRACION'!S73</f>
        <v>0</v>
      </c>
    </row>
    <row r="168" spans="1:21" ht="39.75" customHeight="1">
      <c r="A168" s="53"/>
      <c r="B168" s="53"/>
      <c r="C168" s="7" t="s">
        <v>206</v>
      </c>
      <c r="D168" s="32">
        <v>17120</v>
      </c>
      <c r="E168" s="16" t="str">
        <f ca="1">'1ER PERIODOADMINISTRACION'!C74</f>
        <v>DIAS DE INCAPACIDAD</v>
      </c>
      <c r="F168" s="16" t="str">
        <f ca="1">'1ER PERIODOADMINISTRACION'!D74</f>
        <v>DECENDENTE</v>
      </c>
      <c r="G168" s="16" t="str">
        <f ca="1">'1ER PERIODOADMINISTRACION'!E74</f>
        <v>BITACORA OPERATIVA</v>
      </c>
      <c r="H168" s="18">
        <f ca="1">'2ER PERIODOADMINISTRACION'!F74</f>
        <v>0</v>
      </c>
      <c r="I168" s="19">
        <f ca="1">'2ER PERIODOADMINISTRACION'!G74</f>
        <v>0</v>
      </c>
      <c r="J168" s="19">
        <f ca="1">'2ER PERIODOADMINISTRACION'!H74</f>
        <v>0</v>
      </c>
      <c r="K168" s="19">
        <f ca="1">'2ER PERIODOADMINISTRACION'!I74</f>
        <v>0</v>
      </c>
      <c r="L168" s="19">
        <f ca="1">'2ER PERIODOADMINISTRACION'!J74</f>
        <v>0</v>
      </c>
      <c r="M168" s="19">
        <f ca="1">'2ER PERIODOADMINISTRACION'!K74</f>
        <v>0</v>
      </c>
      <c r="N168" s="19">
        <f ca="1">'2ER PERIODOADMINISTRACION'!L74</f>
        <v>0</v>
      </c>
      <c r="O168" s="19">
        <f ca="1">'2ER PERIODOADMINISTRACION'!M74</f>
        <v>0</v>
      </c>
      <c r="P168" s="19">
        <f ca="1">'2ER PERIODOADMINISTRACION'!N74</f>
        <v>0</v>
      </c>
      <c r="Q168" s="19">
        <f ca="1">'2ER PERIODOADMINISTRACION'!O74</f>
        <v>0</v>
      </c>
      <c r="R168" s="19">
        <f ca="1">'2ER PERIODOADMINISTRACION'!P74</f>
        <v>0</v>
      </c>
      <c r="S168" s="19">
        <f ca="1">'2ER PERIODOADMINISTRACION'!Q74</f>
        <v>0</v>
      </c>
      <c r="T168" s="19">
        <f ca="1">'2ER PERIODOADMINISTRACION'!R74</f>
        <v>0</v>
      </c>
      <c r="U168" s="21">
        <f ca="1">'2ER PERIODOADMINISTRACION'!S74</f>
        <v>0</v>
      </c>
    </row>
    <row r="169" spans="1:21" ht="39.75" customHeight="1">
      <c r="A169" s="53"/>
      <c r="B169" s="53"/>
      <c r="C169" s="7" t="s">
        <v>207</v>
      </c>
      <c r="D169" s="32">
        <v>7350</v>
      </c>
      <c r="E169" s="16" t="str">
        <f ca="1">'1ER PERIODOADMINISTRACION'!C75</f>
        <v>RECETAS EXPEDIDAS A PERSONAL DE AYUNTAMIENTO</v>
      </c>
      <c r="F169" s="16" t="str">
        <f ca="1">'1ER PERIODOADMINISTRACION'!D75</f>
        <v>ASCENDENTE</v>
      </c>
      <c r="G169" s="16" t="str">
        <f ca="1">'1ER PERIODOADMINISTRACION'!E75</f>
        <v>BITACORA OPERATIVA</v>
      </c>
      <c r="H169" s="18">
        <f ca="1">'2ER PERIODOADMINISTRACION'!F75</f>
        <v>0</v>
      </c>
      <c r="I169" s="19">
        <f ca="1">'2ER PERIODOADMINISTRACION'!G75</f>
        <v>0</v>
      </c>
      <c r="J169" s="19">
        <f ca="1">'2ER PERIODOADMINISTRACION'!H75</f>
        <v>0</v>
      </c>
      <c r="K169" s="19">
        <f ca="1">'2ER PERIODOADMINISTRACION'!I75</f>
        <v>0</v>
      </c>
      <c r="L169" s="19">
        <f ca="1">'2ER PERIODOADMINISTRACION'!J75</f>
        <v>0</v>
      </c>
      <c r="M169" s="19">
        <f ca="1">'2ER PERIODOADMINISTRACION'!K75</f>
        <v>0</v>
      </c>
      <c r="N169" s="19">
        <f ca="1">'2ER PERIODOADMINISTRACION'!L75</f>
        <v>0</v>
      </c>
      <c r="O169" s="19">
        <f ca="1">'2ER PERIODOADMINISTRACION'!M75</f>
        <v>0</v>
      </c>
      <c r="P169" s="19">
        <f ca="1">'2ER PERIODOADMINISTRACION'!N75</f>
        <v>0</v>
      </c>
      <c r="Q169" s="19">
        <f ca="1">'2ER PERIODOADMINISTRACION'!O75</f>
        <v>0</v>
      </c>
      <c r="R169" s="19">
        <f ca="1">'2ER PERIODOADMINISTRACION'!P75</f>
        <v>0</v>
      </c>
      <c r="S169" s="19">
        <f ca="1">'2ER PERIODOADMINISTRACION'!Q75</f>
        <v>0</v>
      </c>
      <c r="T169" s="19">
        <f ca="1">'2ER PERIODOADMINISTRACION'!R75</f>
        <v>0</v>
      </c>
      <c r="U169" s="21">
        <f ca="1">'2ER PERIODOADMINISTRACION'!S75</f>
        <v>0</v>
      </c>
    </row>
    <row r="170" spans="1:21" ht="39.75" customHeight="1">
      <c r="A170" s="53"/>
      <c r="B170" s="53"/>
      <c r="C170" s="7" t="s">
        <v>208</v>
      </c>
      <c r="D170" s="32">
        <v>2790</v>
      </c>
      <c r="E170" s="16" t="str">
        <f ca="1">'1ER PERIODOADMINISTRACION'!C76</f>
        <v>RECETAS EXPEDIDAS A POBLACION EN GENERAL</v>
      </c>
      <c r="F170" s="16" t="str">
        <f ca="1">'1ER PERIODOADMINISTRACION'!D76</f>
        <v>ASCENDENTE</v>
      </c>
      <c r="G170" s="16" t="str">
        <f ca="1">'1ER PERIODOADMINISTRACION'!E76</f>
        <v>BITACORA OPERATIVA</v>
      </c>
      <c r="H170" s="18">
        <f ca="1">'2ER PERIODOADMINISTRACION'!F76</f>
        <v>0</v>
      </c>
      <c r="I170" s="19">
        <f ca="1">'2ER PERIODOADMINISTRACION'!G76</f>
        <v>0</v>
      </c>
      <c r="J170" s="19">
        <f ca="1">'2ER PERIODOADMINISTRACION'!H76</f>
        <v>0</v>
      </c>
      <c r="K170" s="19">
        <f ca="1">'2ER PERIODOADMINISTRACION'!I76</f>
        <v>0</v>
      </c>
      <c r="L170" s="19">
        <f ca="1">'2ER PERIODOADMINISTRACION'!J76</f>
        <v>0</v>
      </c>
      <c r="M170" s="19">
        <f ca="1">'2ER PERIODOADMINISTRACION'!K76</f>
        <v>0</v>
      </c>
      <c r="N170" s="19">
        <f ca="1">'2ER PERIODOADMINISTRACION'!L76</f>
        <v>0</v>
      </c>
      <c r="O170" s="19">
        <f ca="1">'2ER PERIODOADMINISTRACION'!M76</f>
        <v>0</v>
      </c>
      <c r="P170" s="19">
        <f ca="1">'2ER PERIODOADMINISTRACION'!N76</f>
        <v>0</v>
      </c>
      <c r="Q170" s="19">
        <f ca="1">'2ER PERIODOADMINISTRACION'!O76</f>
        <v>0</v>
      </c>
      <c r="R170" s="19">
        <f ca="1">'2ER PERIODOADMINISTRACION'!P76</f>
        <v>0</v>
      </c>
      <c r="S170" s="19">
        <f ca="1">'2ER PERIODOADMINISTRACION'!Q76</f>
        <v>0</v>
      </c>
      <c r="T170" s="19">
        <f ca="1">'2ER PERIODOADMINISTRACION'!R76</f>
        <v>0</v>
      </c>
      <c r="U170" s="21">
        <f ca="1">'2ER PERIODOADMINISTRACION'!S76</f>
        <v>0</v>
      </c>
    </row>
    <row r="171" spans="1:21" ht="39.75" customHeight="1">
      <c r="A171" s="53"/>
      <c r="B171" s="53"/>
      <c r="C171" s="7" t="s">
        <v>209</v>
      </c>
      <c r="D171" s="32">
        <v>1</v>
      </c>
      <c r="E171" s="16" t="str">
        <f ca="1">'1ER PERIODOADMINISTRACION'!C77</f>
        <v>EMERGENCIAS MEDICAS  ATENDIDAS EN LA UNIDAD DE SERVICIOS MEDICOS</v>
      </c>
      <c r="F171" s="16" t="str">
        <f ca="1">'1ER PERIODOADMINISTRACION'!D77</f>
        <v>ASCENDENTE</v>
      </c>
      <c r="G171" s="16" t="str">
        <f ca="1">'1ER PERIODOADMINISTRACION'!E77</f>
        <v>BITACORA OPERATIVA</v>
      </c>
      <c r="H171" s="18">
        <f ca="1">'2ER PERIODOADMINISTRACION'!F77</f>
        <v>0</v>
      </c>
      <c r="I171" s="19">
        <f ca="1">'2ER PERIODOADMINISTRACION'!G77</f>
        <v>0</v>
      </c>
      <c r="J171" s="19">
        <f ca="1">'2ER PERIODOADMINISTRACION'!H77</f>
        <v>0</v>
      </c>
      <c r="K171" s="19">
        <f ca="1">'2ER PERIODOADMINISTRACION'!I77</f>
        <v>0</v>
      </c>
      <c r="L171" s="19">
        <f ca="1">'2ER PERIODOADMINISTRACION'!J77</f>
        <v>0</v>
      </c>
      <c r="M171" s="19">
        <f ca="1">'2ER PERIODOADMINISTRACION'!K77</f>
        <v>0</v>
      </c>
      <c r="N171" s="19">
        <f ca="1">'2ER PERIODOADMINISTRACION'!L77</f>
        <v>0</v>
      </c>
      <c r="O171" s="19">
        <f ca="1">'2ER PERIODOADMINISTRACION'!M77</f>
        <v>0</v>
      </c>
      <c r="P171" s="19">
        <f ca="1">'2ER PERIODOADMINISTRACION'!N77</f>
        <v>0</v>
      </c>
      <c r="Q171" s="19">
        <f ca="1">'2ER PERIODOADMINISTRACION'!O77</f>
        <v>0</v>
      </c>
      <c r="R171" s="19">
        <f ca="1">'2ER PERIODOADMINISTRACION'!P77</f>
        <v>0</v>
      </c>
      <c r="S171" s="19">
        <f ca="1">'2ER PERIODOADMINISTRACION'!Q77</f>
        <v>0</v>
      </c>
      <c r="T171" s="19">
        <f ca="1">'2ER PERIODOADMINISTRACION'!R77</f>
        <v>0</v>
      </c>
      <c r="U171" s="21">
        <f ca="1">'2ER PERIODOADMINISTRACION'!S77</f>
        <v>0</v>
      </c>
    </row>
    <row r="172" spans="1:21" ht="39.75" customHeight="1">
      <c r="A172" s="53"/>
      <c r="B172" s="53"/>
      <c r="C172" s="7" t="s">
        <v>210</v>
      </c>
      <c r="D172" s="32">
        <v>2825</v>
      </c>
      <c r="E172" s="16" t="str">
        <f ca="1">'1ER PERIODOADMINISTRACION'!C78</f>
        <v>EMERGENCIAS ATENDIDAS EN VIA PUBLICA</v>
      </c>
      <c r="F172" s="16" t="str">
        <f ca="1">'1ER PERIODOADMINISTRACION'!D78</f>
        <v>DECENDENTE</v>
      </c>
      <c r="G172" s="16" t="str">
        <f ca="1">'1ER PERIODOADMINISTRACION'!E78</f>
        <v>BITACORA OPERATIVA</v>
      </c>
      <c r="H172" s="18">
        <f ca="1">'2ER PERIODOADMINISTRACION'!F78</f>
        <v>0</v>
      </c>
      <c r="I172" s="19">
        <f ca="1">'2ER PERIODOADMINISTRACION'!G78</f>
        <v>0</v>
      </c>
      <c r="J172" s="19">
        <f ca="1">'2ER PERIODOADMINISTRACION'!H78</f>
        <v>0</v>
      </c>
      <c r="K172" s="19">
        <f ca="1">'2ER PERIODOADMINISTRACION'!I78</f>
        <v>0</v>
      </c>
      <c r="L172" s="19">
        <f ca="1">'2ER PERIODOADMINISTRACION'!J78</f>
        <v>0</v>
      </c>
      <c r="M172" s="19">
        <f ca="1">'2ER PERIODOADMINISTRACION'!K78</f>
        <v>0</v>
      </c>
      <c r="N172" s="19">
        <f ca="1">'2ER PERIODOADMINISTRACION'!L78</f>
        <v>0</v>
      </c>
      <c r="O172" s="19">
        <f ca="1">'2ER PERIODOADMINISTRACION'!M78</f>
        <v>0</v>
      </c>
      <c r="P172" s="19">
        <f ca="1">'2ER PERIODOADMINISTRACION'!N78</f>
        <v>0</v>
      </c>
      <c r="Q172" s="19">
        <f ca="1">'2ER PERIODOADMINISTRACION'!O78</f>
        <v>0</v>
      </c>
      <c r="R172" s="19">
        <f ca="1">'2ER PERIODOADMINISTRACION'!P78</f>
        <v>0</v>
      </c>
      <c r="S172" s="19">
        <f ca="1">'2ER PERIODOADMINISTRACION'!Q78</f>
        <v>0</v>
      </c>
      <c r="T172" s="19">
        <f ca="1">'2ER PERIODOADMINISTRACION'!R78</f>
        <v>0</v>
      </c>
      <c r="U172" s="21">
        <f ca="1">'2ER PERIODOADMINISTRACION'!S78</f>
        <v>0</v>
      </c>
    </row>
    <row r="173" spans="1:21" ht="39.75" customHeight="1">
      <c r="A173" s="53"/>
      <c r="B173" s="53"/>
      <c r="C173" s="7" t="s">
        <v>211</v>
      </c>
      <c r="D173" s="32">
        <v>1776</v>
      </c>
      <c r="E173" s="16" t="str">
        <f ca="1">'1ER PERIODOADMINISTRACION'!C79</f>
        <v>CERTIFICADOS MEDICOS EXPEDIDOS A SERVIDORES PUBLICOS</v>
      </c>
      <c r="F173" s="16" t="str">
        <f ca="1">'1ER PERIODOADMINISTRACION'!D79</f>
        <v>ASCENDENTE</v>
      </c>
      <c r="G173" s="16" t="str">
        <f ca="1">'1ER PERIODOADMINISTRACION'!E79</f>
        <v>BITACORA OPERATIVA</v>
      </c>
      <c r="H173" s="18">
        <f ca="1">'2ER PERIODOADMINISTRACION'!F79</f>
        <v>0</v>
      </c>
      <c r="I173" s="19">
        <f ca="1">'2ER PERIODOADMINISTRACION'!G79</f>
        <v>0</v>
      </c>
      <c r="J173" s="19">
        <f ca="1">'2ER PERIODOADMINISTRACION'!H79</f>
        <v>0</v>
      </c>
      <c r="K173" s="19">
        <f ca="1">'2ER PERIODOADMINISTRACION'!I79</f>
        <v>0</v>
      </c>
      <c r="L173" s="19">
        <f ca="1">'2ER PERIODOADMINISTRACION'!J79</f>
        <v>0</v>
      </c>
      <c r="M173" s="19">
        <f ca="1">'2ER PERIODOADMINISTRACION'!K79</f>
        <v>0</v>
      </c>
      <c r="N173" s="19">
        <f ca="1">'2ER PERIODOADMINISTRACION'!L79</f>
        <v>0</v>
      </c>
      <c r="O173" s="19">
        <f ca="1">'2ER PERIODOADMINISTRACION'!M79</f>
        <v>0</v>
      </c>
      <c r="P173" s="19">
        <f ca="1">'2ER PERIODOADMINISTRACION'!N79</f>
        <v>0</v>
      </c>
      <c r="Q173" s="19">
        <f ca="1">'2ER PERIODOADMINISTRACION'!O79</f>
        <v>0</v>
      </c>
      <c r="R173" s="19">
        <f ca="1">'2ER PERIODOADMINISTRACION'!P79</f>
        <v>0</v>
      </c>
      <c r="S173" s="19">
        <f ca="1">'2ER PERIODOADMINISTRACION'!Q79</f>
        <v>0</v>
      </c>
      <c r="T173" s="19">
        <f ca="1">'2ER PERIODOADMINISTRACION'!R79</f>
        <v>0</v>
      </c>
      <c r="U173" s="21">
        <f ca="1">'2ER PERIODOADMINISTRACION'!S79</f>
        <v>0</v>
      </c>
    </row>
    <row r="174" spans="1:21" ht="39.75" customHeight="1">
      <c r="A174" s="53"/>
      <c r="B174" s="53"/>
      <c r="C174" s="7" t="s">
        <v>212</v>
      </c>
      <c r="D174" s="32">
        <v>22</v>
      </c>
      <c r="E174" s="16" t="str">
        <f ca="1">'1ER PERIODOADMINISTRACION'!C80</f>
        <v>CERTIFICADOS MEDICOS EXPEDIDOS A POBLACION EN GENERAL</v>
      </c>
      <c r="F174" s="16" t="str">
        <f ca="1">'1ER PERIODOADMINISTRACION'!D80</f>
        <v>ASCENDENTE</v>
      </c>
      <c r="G174" s="16" t="str">
        <f ca="1">'1ER PERIODOADMINISTRACION'!E80</f>
        <v>BITACORA OPERATIVA</v>
      </c>
      <c r="H174" s="18">
        <f ca="1">'2ER PERIODOADMINISTRACION'!F80</f>
        <v>0</v>
      </c>
      <c r="I174" s="19">
        <f ca="1">'2ER PERIODOADMINISTRACION'!G80</f>
        <v>0</v>
      </c>
      <c r="J174" s="19">
        <f ca="1">'2ER PERIODOADMINISTRACION'!H80</f>
        <v>0</v>
      </c>
      <c r="K174" s="19">
        <f ca="1">'2ER PERIODOADMINISTRACION'!I80</f>
        <v>0</v>
      </c>
      <c r="L174" s="19">
        <f ca="1">'2ER PERIODOADMINISTRACION'!J80</f>
        <v>0</v>
      </c>
      <c r="M174" s="19">
        <f ca="1">'2ER PERIODOADMINISTRACION'!K80</f>
        <v>0</v>
      </c>
      <c r="N174" s="19">
        <f ca="1">'2ER PERIODOADMINISTRACION'!L80</f>
        <v>0</v>
      </c>
      <c r="O174" s="19">
        <f ca="1">'2ER PERIODOADMINISTRACION'!M80</f>
        <v>0</v>
      </c>
      <c r="P174" s="19">
        <f ca="1">'2ER PERIODOADMINISTRACION'!N80</f>
        <v>0</v>
      </c>
      <c r="Q174" s="19">
        <f ca="1">'2ER PERIODOADMINISTRACION'!O80</f>
        <v>0</v>
      </c>
      <c r="R174" s="19">
        <f ca="1">'2ER PERIODOADMINISTRACION'!P80</f>
        <v>0</v>
      </c>
      <c r="S174" s="19">
        <f ca="1">'2ER PERIODOADMINISTRACION'!Q80</f>
        <v>0</v>
      </c>
      <c r="T174" s="19">
        <f ca="1">'2ER PERIODOADMINISTRACION'!R80</f>
        <v>0</v>
      </c>
      <c r="U174" s="21">
        <f ca="1">'2ER PERIODOADMINISTRACION'!S80</f>
        <v>0</v>
      </c>
    </row>
    <row r="175" spans="1:21" ht="39.75" customHeight="1">
      <c r="A175" s="53"/>
      <c r="B175" s="53"/>
      <c r="C175" s="7" t="s">
        <v>213</v>
      </c>
      <c r="D175" s="32">
        <v>13464</v>
      </c>
      <c r="E175" s="16" t="str">
        <f ca="1">'1ER PERIODOADMINISTRACION'!C81</f>
        <v>PLATICAS MEDICAS REALIZADAS</v>
      </c>
      <c r="F175" s="16" t="str">
        <f ca="1">'1ER PERIODOADMINISTRACION'!D81</f>
        <v>ASCENDENTE</v>
      </c>
      <c r="G175" s="16" t="str">
        <f ca="1">'1ER PERIODOADMINISTRACION'!E81</f>
        <v>BITACORA OPERATIVA</v>
      </c>
      <c r="H175" s="18">
        <f ca="1">'2ER PERIODOADMINISTRACION'!F81</f>
        <v>0</v>
      </c>
      <c r="I175" s="19">
        <f ca="1">'2ER PERIODOADMINISTRACION'!G81</f>
        <v>0</v>
      </c>
      <c r="J175" s="19">
        <f ca="1">'2ER PERIODOADMINISTRACION'!H81</f>
        <v>0</v>
      </c>
      <c r="K175" s="19">
        <f ca="1">'2ER PERIODOADMINISTRACION'!I81</f>
        <v>0</v>
      </c>
      <c r="L175" s="19">
        <f ca="1">'2ER PERIODOADMINISTRACION'!J81</f>
        <v>0</v>
      </c>
      <c r="M175" s="19">
        <f ca="1">'2ER PERIODOADMINISTRACION'!K81</f>
        <v>0</v>
      </c>
      <c r="N175" s="19">
        <f ca="1">'2ER PERIODOADMINISTRACION'!L81</f>
        <v>0</v>
      </c>
      <c r="O175" s="19">
        <f ca="1">'2ER PERIODOADMINISTRACION'!M81</f>
        <v>0</v>
      </c>
      <c r="P175" s="19">
        <f ca="1">'2ER PERIODOADMINISTRACION'!N81</f>
        <v>0</v>
      </c>
      <c r="Q175" s="19">
        <f ca="1">'2ER PERIODOADMINISTRACION'!O81</f>
        <v>0</v>
      </c>
      <c r="R175" s="19">
        <f ca="1">'2ER PERIODOADMINISTRACION'!P81</f>
        <v>0</v>
      </c>
      <c r="S175" s="19">
        <f ca="1">'2ER PERIODOADMINISTRACION'!Q81</f>
        <v>0</v>
      </c>
      <c r="T175" s="19">
        <f ca="1">'2ER PERIODOADMINISTRACION'!R81</f>
        <v>0</v>
      </c>
      <c r="U175" s="21">
        <f ca="1">'2ER PERIODOADMINISTRACION'!S81</f>
        <v>0</v>
      </c>
    </row>
    <row r="176" spans="1:21" ht="39.75" customHeight="1">
      <c r="A176" s="53"/>
      <c r="B176" s="53"/>
      <c r="C176" s="7" t="s">
        <v>214</v>
      </c>
      <c r="D176" s="32">
        <v>6</v>
      </c>
      <c r="E176" s="16" t="str">
        <f ca="1">'1ER PERIODOADMINISTRACION'!C82</f>
        <v>ASISTENTES A LAS PLATICAS MEDICAS</v>
      </c>
      <c r="F176" s="16" t="str">
        <f ca="1">'1ER PERIODOADMINISTRACION'!D82</f>
        <v>ASCENDENTE</v>
      </c>
      <c r="G176" s="16" t="str">
        <f ca="1">'1ER PERIODOADMINISTRACION'!E82</f>
        <v>BITACORA OPERATIVA</v>
      </c>
      <c r="H176" s="18">
        <f ca="1">'2ER PERIODOADMINISTRACION'!F82</f>
        <v>0</v>
      </c>
      <c r="I176" s="19">
        <f ca="1">'2ER PERIODOADMINISTRACION'!G82</f>
        <v>0</v>
      </c>
      <c r="J176" s="19">
        <f ca="1">'2ER PERIODOADMINISTRACION'!H82</f>
        <v>0</v>
      </c>
      <c r="K176" s="19">
        <f ca="1">'2ER PERIODOADMINISTRACION'!I82</f>
        <v>0</v>
      </c>
      <c r="L176" s="19">
        <f ca="1">'2ER PERIODOADMINISTRACION'!J82</f>
        <v>0</v>
      </c>
      <c r="M176" s="19">
        <f ca="1">'2ER PERIODOADMINISTRACION'!K82</f>
        <v>0</v>
      </c>
      <c r="N176" s="19">
        <f ca="1">'2ER PERIODOADMINISTRACION'!L82</f>
        <v>0</v>
      </c>
      <c r="O176" s="19">
        <f ca="1">'2ER PERIODOADMINISTRACION'!M82</f>
        <v>0</v>
      </c>
      <c r="P176" s="19">
        <f ca="1">'2ER PERIODOADMINISTRACION'!N82</f>
        <v>0</v>
      </c>
      <c r="Q176" s="19">
        <f ca="1">'2ER PERIODOADMINISTRACION'!O82</f>
        <v>0</v>
      </c>
      <c r="R176" s="19">
        <f ca="1">'2ER PERIODOADMINISTRACION'!P82</f>
        <v>0</v>
      </c>
      <c r="S176" s="19">
        <f ca="1">'2ER PERIODOADMINISTRACION'!Q82</f>
        <v>0</v>
      </c>
      <c r="T176" s="19">
        <f ca="1">'2ER PERIODOADMINISTRACION'!R82</f>
        <v>0</v>
      </c>
      <c r="U176" s="21">
        <f ca="1">'2ER PERIODOADMINISTRACION'!S82</f>
        <v>0</v>
      </c>
    </row>
    <row r="177" spans="1:21" ht="39.75" customHeight="1">
      <c r="A177" s="53"/>
      <c r="B177" s="53"/>
      <c r="C177" s="7" t="s">
        <v>215</v>
      </c>
      <c r="D177" s="32">
        <v>3116</v>
      </c>
      <c r="E177" s="16" t="str">
        <f ca="1">'1ER PERIODOADMINISTRACION'!C83</f>
        <v>VISITAS A CENTRO DE TRABAJO REALIZADAS</v>
      </c>
      <c r="F177" s="16" t="str">
        <f ca="1">'1ER PERIODOADMINISTRACION'!D83</f>
        <v>DECENDENTE</v>
      </c>
      <c r="G177" s="16" t="str">
        <f ca="1">'1ER PERIODOADMINISTRACION'!E83</f>
        <v>BITACORA OPERATIVA</v>
      </c>
      <c r="H177" s="18">
        <f ca="1">'2ER PERIODOADMINISTRACION'!F83</f>
        <v>0</v>
      </c>
      <c r="I177" s="19">
        <f ca="1">'2ER PERIODOADMINISTRACION'!G83</f>
        <v>0</v>
      </c>
      <c r="J177" s="19">
        <f ca="1">'2ER PERIODOADMINISTRACION'!H83</f>
        <v>0</v>
      </c>
      <c r="K177" s="19">
        <f ca="1">'2ER PERIODOADMINISTRACION'!I83</f>
        <v>0</v>
      </c>
      <c r="L177" s="19">
        <f ca="1">'2ER PERIODOADMINISTRACION'!J83</f>
        <v>0</v>
      </c>
      <c r="M177" s="19">
        <f ca="1">'2ER PERIODOADMINISTRACION'!K83</f>
        <v>0</v>
      </c>
      <c r="N177" s="19">
        <f ca="1">'2ER PERIODOADMINISTRACION'!L83</f>
        <v>0</v>
      </c>
      <c r="O177" s="19">
        <f ca="1">'2ER PERIODOADMINISTRACION'!M83</f>
        <v>0</v>
      </c>
      <c r="P177" s="19">
        <f ca="1">'2ER PERIODOADMINISTRACION'!N83</f>
        <v>0</v>
      </c>
      <c r="Q177" s="19">
        <f ca="1">'2ER PERIODOADMINISTRACION'!O83</f>
        <v>0</v>
      </c>
      <c r="R177" s="19">
        <f ca="1">'2ER PERIODOADMINISTRACION'!P83</f>
        <v>0</v>
      </c>
      <c r="S177" s="19">
        <f ca="1">'2ER PERIODOADMINISTRACION'!Q83</f>
        <v>0</v>
      </c>
      <c r="T177" s="19">
        <f ca="1">'2ER PERIODOADMINISTRACION'!R83</f>
        <v>0</v>
      </c>
      <c r="U177" s="21">
        <f ca="1">'2ER PERIODOADMINISTRACION'!S83</f>
        <v>0</v>
      </c>
    </row>
    <row r="178" spans="1:21" ht="39.75" customHeight="1">
      <c r="A178" s="53"/>
      <c r="B178" s="53"/>
      <c r="C178" s="7" t="s">
        <v>216</v>
      </c>
      <c r="D178" s="32">
        <v>520</v>
      </c>
      <c r="E178" s="16" t="str">
        <f ca="1">'1ER PERIODOADMINISTRACION'!C84</f>
        <v>EMERGENCIAS ATENDIDAS</v>
      </c>
      <c r="F178" s="16" t="str">
        <f ca="1">'1ER PERIODOADMINISTRACION'!D84</f>
        <v>DECENDENTE</v>
      </c>
      <c r="G178" s="16" t="str">
        <f ca="1">'1ER PERIODOADMINISTRACION'!E84</f>
        <v>BITACORA OPERATIVA</v>
      </c>
      <c r="H178" s="18">
        <f ca="1">'2ER PERIODOADMINISTRACION'!F84</f>
        <v>0</v>
      </c>
      <c r="I178" s="19">
        <f ca="1">'2ER PERIODOADMINISTRACION'!G84</f>
        <v>0</v>
      </c>
      <c r="J178" s="19">
        <f ca="1">'2ER PERIODOADMINISTRACION'!H84</f>
        <v>0</v>
      </c>
      <c r="K178" s="19">
        <f ca="1">'2ER PERIODOADMINISTRACION'!I84</f>
        <v>0</v>
      </c>
      <c r="L178" s="19">
        <f ca="1">'2ER PERIODOADMINISTRACION'!J84</f>
        <v>0</v>
      </c>
      <c r="M178" s="19">
        <f ca="1">'2ER PERIODOADMINISTRACION'!K84</f>
        <v>0</v>
      </c>
      <c r="N178" s="19">
        <f ca="1">'2ER PERIODOADMINISTRACION'!L84</f>
        <v>0</v>
      </c>
      <c r="O178" s="19">
        <f ca="1">'2ER PERIODOADMINISTRACION'!M84</f>
        <v>0</v>
      </c>
      <c r="P178" s="19">
        <f ca="1">'2ER PERIODOADMINISTRACION'!N84</f>
        <v>0</v>
      </c>
      <c r="Q178" s="19">
        <f ca="1">'2ER PERIODOADMINISTRACION'!O84</f>
        <v>0</v>
      </c>
      <c r="R178" s="19">
        <f ca="1">'2ER PERIODOADMINISTRACION'!P84</f>
        <v>0</v>
      </c>
      <c r="S178" s="19">
        <f ca="1">'2ER PERIODOADMINISTRACION'!Q84</f>
        <v>0</v>
      </c>
      <c r="T178" s="19">
        <f ca="1">'2ER PERIODOADMINISTRACION'!R84</f>
        <v>0</v>
      </c>
      <c r="U178" s="21">
        <f ca="1">'2ER PERIODOADMINISTRACION'!S84</f>
        <v>0</v>
      </c>
    </row>
    <row r="179" spans="1:21" ht="39.75" customHeight="1">
      <c r="A179" s="53"/>
      <c r="B179" s="53"/>
      <c r="C179" s="7" t="s">
        <v>217</v>
      </c>
      <c r="D179" s="32">
        <v>868</v>
      </c>
      <c r="E179" s="16" t="str">
        <f ca="1">'1ER PERIODOADMINISTRACION'!C85</f>
        <v>HOSPITALIZACIONES EFECTUADAS</v>
      </c>
      <c r="F179" s="16" t="str">
        <f ca="1">'1ER PERIODOADMINISTRACION'!D85</f>
        <v>DECENDENTE</v>
      </c>
      <c r="G179" s="16" t="str">
        <f ca="1">'1ER PERIODOADMINISTRACION'!E85</f>
        <v>BITACORA OPERATIVA</v>
      </c>
      <c r="H179" s="18">
        <f ca="1">'2ER PERIODOADMINISTRACION'!F85</f>
        <v>0</v>
      </c>
      <c r="I179" s="19">
        <f ca="1">'2ER PERIODOADMINISTRACION'!G85</f>
        <v>0</v>
      </c>
      <c r="J179" s="19">
        <f ca="1">'2ER PERIODOADMINISTRACION'!H85</f>
        <v>0</v>
      </c>
      <c r="K179" s="19">
        <f ca="1">'2ER PERIODOADMINISTRACION'!I85</f>
        <v>0</v>
      </c>
      <c r="L179" s="19">
        <f ca="1">'2ER PERIODOADMINISTRACION'!J85</f>
        <v>0</v>
      </c>
      <c r="M179" s="19">
        <f ca="1">'2ER PERIODOADMINISTRACION'!K85</f>
        <v>0</v>
      </c>
      <c r="N179" s="19">
        <f ca="1">'2ER PERIODOADMINISTRACION'!L85</f>
        <v>0</v>
      </c>
      <c r="O179" s="19">
        <f ca="1">'2ER PERIODOADMINISTRACION'!M85</f>
        <v>0</v>
      </c>
      <c r="P179" s="19">
        <f ca="1">'2ER PERIODOADMINISTRACION'!N85</f>
        <v>0</v>
      </c>
      <c r="Q179" s="19">
        <f ca="1">'2ER PERIODOADMINISTRACION'!O85</f>
        <v>0</v>
      </c>
      <c r="R179" s="19">
        <f ca="1">'2ER PERIODOADMINISTRACION'!P85</f>
        <v>0</v>
      </c>
      <c r="S179" s="19">
        <f ca="1">'2ER PERIODOADMINISTRACION'!Q85</f>
        <v>0</v>
      </c>
      <c r="T179" s="19">
        <f ca="1">'2ER PERIODOADMINISTRACION'!R85</f>
        <v>0</v>
      </c>
      <c r="U179" s="21">
        <f ca="1">'2ER PERIODOADMINISTRACION'!S85</f>
        <v>0</v>
      </c>
    </row>
    <row r="180" spans="1:21" ht="39.75" customHeight="1">
      <c r="A180" s="53"/>
      <c r="B180" s="53"/>
      <c r="C180" s="7" t="s">
        <v>218</v>
      </c>
      <c r="D180" s="32">
        <v>209</v>
      </c>
      <c r="E180" s="16" t="str">
        <f ca="1">'1ER PERIODOADMINISTRACION'!C86</f>
        <v>CURACIONES REALIZADAS</v>
      </c>
      <c r="F180" s="16" t="str">
        <f ca="1">'1ER PERIODOADMINISTRACION'!D86</f>
        <v>ASCENDENTE</v>
      </c>
      <c r="G180" s="16" t="str">
        <f ca="1">'1ER PERIODOADMINISTRACION'!E86</f>
        <v>BITACORA OPERATIVA</v>
      </c>
      <c r="H180" s="18">
        <f ca="1">'2ER PERIODOADMINISTRACION'!F86</f>
        <v>0</v>
      </c>
      <c r="I180" s="19">
        <f ca="1">'2ER PERIODOADMINISTRACION'!G86</f>
        <v>0</v>
      </c>
      <c r="J180" s="19">
        <f ca="1">'2ER PERIODOADMINISTRACION'!H86</f>
        <v>0</v>
      </c>
      <c r="K180" s="19">
        <f ca="1">'2ER PERIODOADMINISTRACION'!I86</f>
        <v>0</v>
      </c>
      <c r="L180" s="19">
        <f ca="1">'2ER PERIODOADMINISTRACION'!J86</f>
        <v>0</v>
      </c>
      <c r="M180" s="19">
        <f ca="1">'2ER PERIODOADMINISTRACION'!K86</f>
        <v>0</v>
      </c>
      <c r="N180" s="19">
        <f ca="1">'2ER PERIODOADMINISTRACION'!L86</f>
        <v>0</v>
      </c>
      <c r="O180" s="19">
        <f ca="1">'2ER PERIODOADMINISTRACION'!M86</f>
        <v>0</v>
      </c>
      <c r="P180" s="19">
        <f ca="1">'2ER PERIODOADMINISTRACION'!N86</f>
        <v>0</v>
      </c>
      <c r="Q180" s="19">
        <f ca="1">'2ER PERIODOADMINISTRACION'!O86</f>
        <v>0</v>
      </c>
      <c r="R180" s="19">
        <f ca="1">'2ER PERIODOADMINISTRACION'!P86</f>
        <v>0</v>
      </c>
      <c r="S180" s="19">
        <f ca="1">'2ER PERIODOADMINISTRACION'!Q86</f>
        <v>0</v>
      </c>
      <c r="T180" s="19">
        <f ca="1">'2ER PERIODOADMINISTRACION'!R86</f>
        <v>0</v>
      </c>
      <c r="U180" s="21">
        <f ca="1">'2ER PERIODOADMINISTRACION'!S86</f>
        <v>0</v>
      </c>
    </row>
    <row r="181" spans="1:21" ht="39.75" customHeight="1">
      <c r="A181" s="53"/>
      <c r="B181" s="53"/>
      <c r="C181" s="7" t="s">
        <v>219</v>
      </c>
      <c r="D181" s="32">
        <v>824</v>
      </c>
      <c r="E181" s="16" t="str">
        <f ca="1">'1ER PERIODOADMINISTRACION'!C87</f>
        <v>SUTURAS REALIZADAS</v>
      </c>
      <c r="F181" s="16" t="str">
        <f ca="1">'1ER PERIODOADMINISTRACION'!D87</f>
        <v>ASCENDENTE</v>
      </c>
      <c r="G181" s="16" t="str">
        <f ca="1">'1ER PERIODOADMINISTRACION'!E87</f>
        <v>BITACORA OPERATIVA</v>
      </c>
      <c r="H181" s="18">
        <f ca="1">'2ER PERIODOADMINISTRACION'!F87</f>
        <v>0</v>
      </c>
      <c r="I181" s="19">
        <f ca="1">'2ER PERIODOADMINISTRACION'!G87</f>
        <v>0</v>
      </c>
      <c r="J181" s="19">
        <f ca="1">'2ER PERIODOADMINISTRACION'!H87</f>
        <v>0</v>
      </c>
      <c r="K181" s="19">
        <f ca="1">'2ER PERIODOADMINISTRACION'!I87</f>
        <v>0</v>
      </c>
      <c r="L181" s="19">
        <f ca="1">'2ER PERIODOADMINISTRACION'!J87</f>
        <v>0</v>
      </c>
      <c r="M181" s="19">
        <f ca="1">'2ER PERIODOADMINISTRACION'!K87</f>
        <v>0</v>
      </c>
      <c r="N181" s="19">
        <f ca="1">'2ER PERIODOADMINISTRACION'!L87</f>
        <v>0</v>
      </c>
      <c r="O181" s="19">
        <f ca="1">'2ER PERIODOADMINISTRACION'!M87</f>
        <v>0</v>
      </c>
      <c r="P181" s="19">
        <f ca="1">'2ER PERIODOADMINISTRACION'!N87</f>
        <v>0</v>
      </c>
      <c r="Q181" s="19">
        <f ca="1">'2ER PERIODOADMINISTRACION'!O87</f>
        <v>0</v>
      </c>
      <c r="R181" s="19">
        <f ca="1">'2ER PERIODOADMINISTRACION'!P87</f>
        <v>0</v>
      </c>
      <c r="S181" s="19">
        <f ca="1">'2ER PERIODOADMINISTRACION'!Q87</f>
        <v>0</v>
      </c>
      <c r="T181" s="19">
        <f ca="1">'2ER PERIODOADMINISTRACION'!R87</f>
        <v>0</v>
      </c>
      <c r="U181" s="21">
        <f ca="1">'2ER PERIODOADMINISTRACION'!S87</f>
        <v>0</v>
      </c>
    </row>
    <row r="182" spans="1:21" ht="39.75" customHeight="1">
      <c r="A182" s="53"/>
      <c r="B182" s="53"/>
      <c r="C182" s="7" t="s">
        <v>220</v>
      </c>
      <c r="D182" s="32">
        <v>216</v>
      </c>
      <c r="E182" s="16" t="str">
        <f ca="1">'1ER PERIODOADMINISTRACION'!C88</f>
        <v>ATENCIONES DE LESIONES BRINDADAS POR SERVICIOS MEDICOS</v>
      </c>
      <c r="F182" s="16" t="str">
        <f ca="1">'1ER PERIODOADMINISTRACION'!D88</f>
        <v>ASCENDENTE</v>
      </c>
      <c r="G182" s="16" t="str">
        <f ca="1">'1ER PERIODOADMINISTRACION'!E88</f>
        <v>BITACORA OPERATIVA</v>
      </c>
      <c r="H182" s="18">
        <f ca="1">'2ER PERIODOADMINISTRACION'!F88</f>
        <v>0</v>
      </c>
      <c r="I182" s="19">
        <f ca="1">'2ER PERIODOADMINISTRACION'!G88</f>
        <v>0</v>
      </c>
      <c r="J182" s="19">
        <f ca="1">'2ER PERIODOADMINISTRACION'!H88</f>
        <v>0</v>
      </c>
      <c r="K182" s="19">
        <f ca="1">'2ER PERIODOADMINISTRACION'!I88</f>
        <v>0</v>
      </c>
      <c r="L182" s="19">
        <f ca="1">'2ER PERIODOADMINISTRACION'!J88</f>
        <v>0</v>
      </c>
      <c r="M182" s="19">
        <f ca="1">'2ER PERIODOADMINISTRACION'!K88</f>
        <v>0</v>
      </c>
      <c r="N182" s="19">
        <f ca="1">'2ER PERIODOADMINISTRACION'!L88</f>
        <v>0</v>
      </c>
      <c r="O182" s="19">
        <f ca="1">'2ER PERIODOADMINISTRACION'!M88</f>
        <v>0</v>
      </c>
      <c r="P182" s="19">
        <f ca="1">'2ER PERIODOADMINISTRACION'!N88</f>
        <v>0</v>
      </c>
      <c r="Q182" s="19">
        <f ca="1">'2ER PERIODOADMINISTRACION'!O88</f>
        <v>0</v>
      </c>
      <c r="R182" s="19">
        <f ca="1">'2ER PERIODOADMINISTRACION'!P88</f>
        <v>0</v>
      </c>
      <c r="S182" s="19">
        <f ca="1">'2ER PERIODOADMINISTRACION'!Q88</f>
        <v>0</v>
      </c>
      <c r="T182" s="19">
        <f ca="1">'2ER PERIODOADMINISTRACION'!R88</f>
        <v>0</v>
      </c>
      <c r="U182" s="21">
        <f ca="1">'2ER PERIODOADMINISTRACION'!S88</f>
        <v>0</v>
      </c>
    </row>
    <row r="183" spans="1:21" ht="39.75" customHeight="1">
      <c r="A183" s="53"/>
      <c r="B183" s="53"/>
      <c r="C183" s="7" t="s">
        <v>221</v>
      </c>
      <c r="D183" s="32">
        <v>1569</v>
      </c>
      <c r="E183" s="16" t="str">
        <f ca="1">'1ER PERIODOADMINISTRACION'!C89</f>
        <v>SUTURAS RETIRADAS</v>
      </c>
      <c r="F183" s="16" t="str">
        <f ca="1">'1ER PERIODOADMINISTRACION'!D89</f>
        <v>ASCENDENTE</v>
      </c>
      <c r="G183" s="16" t="str">
        <f ca="1">'1ER PERIODOADMINISTRACION'!E89</f>
        <v>BITACORA OPERATIVA</v>
      </c>
      <c r="H183" s="18">
        <f ca="1">'2ER PERIODOADMINISTRACION'!F89</f>
        <v>0</v>
      </c>
      <c r="I183" s="19">
        <f ca="1">'2ER PERIODOADMINISTRACION'!G89</f>
        <v>0</v>
      </c>
      <c r="J183" s="19">
        <f ca="1">'2ER PERIODOADMINISTRACION'!H89</f>
        <v>0</v>
      </c>
      <c r="K183" s="19">
        <f ca="1">'2ER PERIODOADMINISTRACION'!I89</f>
        <v>0</v>
      </c>
      <c r="L183" s="19">
        <f ca="1">'2ER PERIODOADMINISTRACION'!J89</f>
        <v>0</v>
      </c>
      <c r="M183" s="19">
        <f ca="1">'2ER PERIODOADMINISTRACION'!K89</f>
        <v>0</v>
      </c>
      <c r="N183" s="19">
        <f ca="1">'2ER PERIODOADMINISTRACION'!L89</f>
        <v>0</v>
      </c>
      <c r="O183" s="19">
        <f ca="1">'2ER PERIODOADMINISTRACION'!M89</f>
        <v>0</v>
      </c>
      <c r="P183" s="19">
        <f ca="1">'2ER PERIODOADMINISTRACION'!N89</f>
        <v>0</v>
      </c>
      <c r="Q183" s="19">
        <f ca="1">'2ER PERIODOADMINISTRACION'!O89</f>
        <v>0</v>
      </c>
      <c r="R183" s="19">
        <f ca="1">'2ER PERIODOADMINISTRACION'!P89</f>
        <v>0</v>
      </c>
      <c r="S183" s="19">
        <f ca="1">'2ER PERIODOADMINISTRACION'!Q89</f>
        <v>0</v>
      </c>
      <c r="T183" s="19">
        <f ca="1">'2ER PERIODOADMINISTRACION'!R89</f>
        <v>0</v>
      </c>
      <c r="U183" s="21">
        <f ca="1">'2ER PERIODOADMINISTRACION'!S89</f>
        <v>0</v>
      </c>
    </row>
    <row r="184" spans="1:21" ht="39.75" customHeight="1">
      <c r="A184" s="53"/>
      <c r="B184" s="53"/>
      <c r="C184" s="7" t="s">
        <v>222</v>
      </c>
      <c r="D184" s="32">
        <v>291</v>
      </c>
      <c r="E184" s="16" t="str">
        <f ca="1">'1ER PERIODOADMINISTRACION'!C90</f>
        <v>APLICACION DE MEDICAMENTOS REALIZADOS</v>
      </c>
      <c r="F184" s="16" t="str">
        <f ca="1">'1ER PERIODOADMINISTRACION'!D90</f>
        <v>ASCENDENTE</v>
      </c>
      <c r="G184" s="16" t="str">
        <f ca="1">'1ER PERIODOADMINISTRACION'!E90</f>
        <v>BITACORA OPERATIVA</v>
      </c>
      <c r="H184" s="18">
        <f ca="1">'2ER PERIODOADMINISTRACION'!F90</f>
        <v>0</v>
      </c>
      <c r="I184" s="19">
        <f ca="1">'2ER PERIODOADMINISTRACION'!G90</f>
        <v>0</v>
      </c>
      <c r="J184" s="19">
        <f ca="1">'2ER PERIODOADMINISTRACION'!H90</f>
        <v>0</v>
      </c>
      <c r="K184" s="19">
        <f ca="1">'2ER PERIODOADMINISTRACION'!I90</f>
        <v>0</v>
      </c>
      <c r="L184" s="19">
        <f ca="1">'2ER PERIODOADMINISTRACION'!J90</f>
        <v>0</v>
      </c>
      <c r="M184" s="19">
        <f ca="1">'2ER PERIODOADMINISTRACION'!K90</f>
        <v>0</v>
      </c>
      <c r="N184" s="19">
        <f ca="1">'2ER PERIODOADMINISTRACION'!L90</f>
        <v>0</v>
      </c>
      <c r="O184" s="19">
        <f ca="1">'2ER PERIODOADMINISTRACION'!M90</f>
        <v>0</v>
      </c>
      <c r="P184" s="19">
        <f ca="1">'2ER PERIODOADMINISTRACION'!N90</f>
        <v>0</v>
      </c>
      <c r="Q184" s="19">
        <f ca="1">'2ER PERIODOADMINISTRACION'!O90</f>
        <v>0</v>
      </c>
      <c r="R184" s="19">
        <f ca="1">'2ER PERIODOADMINISTRACION'!P90</f>
        <v>0</v>
      </c>
      <c r="S184" s="19">
        <f ca="1">'2ER PERIODOADMINISTRACION'!Q90</f>
        <v>0</v>
      </c>
      <c r="T184" s="19">
        <f ca="1">'2ER PERIODOADMINISTRACION'!R90</f>
        <v>0</v>
      </c>
      <c r="U184" s="21">
        <f ca="1">'2ER PERIODOADMINISTRACION'!S90</f>
        <v>0</v>
      </c>
    </row>
    <row r="185" spans="1:21" ht="39.75" customHeight="1">
      <c r="A185" s="53"/>
      <c r="B185" s="53"/>
      <c r="C185" s="7" t="s">
        <v>223</v>
      </c>
      <c r="D185" s="32">
        <v>14</v>
      </c>
      <c r="E185" s="16" t="str">
        <f ca="1">'1ER PERIODOADMINISTRACION'!C91</f>
        <v>VENDAJES APLICADOS</v>
      </c>
      <c r="F185" s="16" t="str">
        <f ca="1">'1ER PERIODOADMINISTRACION'!D91</f>
        <v>ASCENDENTE</v>
      </c>
      <c r="G185" s="16" t="str">
        <f ca="1">'1ER PERIODOADMINISTRACION'!E91</f>
        <v>BITACORA OPERATIVA</v>
      </c>
      <c r="H185" s="18">
        <f ca="1">'2ER PERIODOADMINISTRACION'!F91</f>
        <v>0</v>
      </c>
      <c r="I185" s="19">
        <f ca="1">'2ER PERIODOADMINISTRACION'!G91</f>
        <v>0</v>
      </c>
      <c r="J185" s="19">
        <f ca="1">'2ER PERIODOADMINISTRACION'!H91</f>
        <v>0</v>
      </c>
      <c r="K185" s="19">
        <f ca="1">'2ER PERIODOADMINISTRACION'!I91</f>
        <v>0</v>
      </c>
      <c r="L185" s="19">
        <f ca="1">'2ER PERIODOADMINISTRACION'!J91</f>
        <v>0</v>
      </c>
      <c r="M185" s="19">
        <f ca="1">'2ER PERIODOADMINISTRACION'!K91</f>
        <v>0</v>
      </c>
      <c r="N185" s="19">
        <f ca="1">'2ER PERIODOADMINISTRACION'!L91</f>
        <v>0</v>
      </c>
      <c r="O185" s="19">
        <f ca="1">'2ER PERIODOADMINISTRACION'!M91</f>
        <v>0</v>
      </c>
      <c r="P185" s="19">
        <f ca="1">'2ER PERIODOADMINISTRACION'!N91</f>
        <v>0</v>
      </c>
      <c r="Q185" s="19">
        <f ca="1">'2ER PERIODOADMINISTRACION'!O91</f>
        <v>0</v>
      </c>
      <c r="R185" s="19">
        <f ca="1">'2ER PERIODOADMINISTRACION'!P91</f>
        <v>0</v>
      </c>
      <c r="S185" s="19">
        <f ca="1">'2ER PERIODOADMINISTRACION'!Q91</f>
        <v>0</v>
      </c>
      <c r="T185" s="19">
        <f ca="1">'2ER PERIODOADMINISTRACION'!R91</f>
        <v>0</v>
      </c>
      <c r="U185" s="21">
        <f ca="1">'2ER PERIODOADMINISTRACION'!S91</f>
        <v>0</v>
      </c>
    </row>
    <row r="186" spans="1:21" ht="39.75" customHeight="1">
      <c r="A186" s="53"/>
      <c r="B186" s="53"/>
      <c r="C186" s="7" t="s">
        <v>224</v>
      </c>
      <c r="D186" s="32">
        <v>528</v>
      </c>
      <c r="E186" s="16" t="str">
        <f ca="1">'1ER PERIODOADMINISTRACION'!C92</f>
        <v>YESO APLICADO</v>
      </c>
      <c r="F186" s="16" t="str">
        <f ca="1">'1ER PERIODOADMINISTRACION'!D92</f>
        <v>ASCENDENTE</v>
      </c>
      <c r="G186" s="16" t="str">
        <f ca="1">'1ER PERIODOADMINISTRACION'!E92</f>
        <v>BITACORA OPERATIVA</v>
      </c>
      <c r="H186" s="18">
        <f ca="1">'2ER PERIODOADMINISTRACION'!F92</f>
        <v>0</v>
      </c>
      <c r="I186" s="19">
        <f ca="1">'2ER PERIODOADMINISTRACION'!G92</f>
        <v>0</v>
      </c>
      <c r="J186" s="19">
        <f ca="1">'2ER PERIODOADMINISTRACION'!H92</f>
        <v>0</v>
      </c>
      <c r="K186" s="19">
        <f ca="1">'2ER PERIODOADMINISTRACION'!I92</f>
        <v>0</v>
      </c>
      <c r="L186" s="19">
        <f ca="1">'2ER PERIODOADMINISTRACION'!J92</f>
        <v>0</v>
      </c>
      <c r="M186" s="19">
        <f ca="1">'2ER PERIODOADMINISTRACION'!K92</f>
        <v>0</v>
      </c>
      <c r="N186" s="19">
        <f ca="1">'2ER PERIODOADMINISTRACION'!L92</f>
        <v>0</v>
      </c>
      <c r="O186" s="19">
        <f ca="1">'2ER PERIODOADMINISTRACION'!M92</f>
        <v>0</v>
      </c>
      <c r="P186" s="19">
        <f ca="1">'2ER PERIODOADMINISTRACION'!N92</f>
        <v>0</v>
      </c>
      <c r="Q186" s="19">
        <f ca="1">'2ER PERIODOADMINISTRACION'!O92</f>
        <v>0</v>
      </c>
      <c r="R186" s="19">
        <f ca="1">'2ER PERIODOADMINISTRACION'!P92</f>
        <v>0</v>
      </c>
      <c r="S186" s="19">
        <f ca="1">'2ER PERIODOADMINISTRACION'!Q92</f>
        <v>0</v>
      </c>
      <c r="T186" s="19">
        <f ca="1">'2ER PERIODOADMINISTRACION'!R92</f>
        <v>0</v>
      </c>
      <c r="U186" s="21">
        <f ca="1">'2ER PERIODOADMINISTRACION'!S92</f>
        <v>0</v>
      </c>
    </row>
    <row r="187" spans="1:21" ht="39.75" customHeight="1">
      <c r="A187" s="53"/>
      <c r="B187" s="53"/>
      <c r="C187" s="7" t="s">
        <v>225</v>
      </c>
      <c r="D187" s="32">
        <v>528</v>
      </c>
      <c r="E187" s="16" t="str">
        <f ca="1">'1ER PERIODOADMINISTRACION'!C93</f>
        <v>TERAPIAS REALIZADAS</v>
      </c>
      <c r="F187" s="16" t="str">
        <f ca="1">'1ER PERIODOADMINISTRACION'!D93</f>
        <v>ASCENDENTE</v>
      </c>
      <c r="G187" s="16" t="str">
        <f ca="1">'1ER PERIODOADMINISTRACION'!E93</f>
        <v>BITACORA OPERATIVA</v>
      </c>
      <c r="H187" s="18">
        <f ca="1">'2ER PERIODOADMINISTRACION'!F93</f>
        <v>0</v>
      </c>
      <c r="I187" s="19">
        <f ca="1">'2ER PERIODOADMINISTRACION'!G93</f>
        <v>0</v>
      </c>
      <c r="J187" s="19">
        <f ca="1">'2ER PERIODOADMINISTRACION'!H93</f>
        <v>0</v>
      </c>
      <c r="K187" s="19">
        <f ca="1">'2ER PERIODOADMINISTRACION'!I93</f>
        <v>0</v>
      </c>
      <c r="L187" s="19">
        <f ca="1">'2ER PERIODOADMINISTRACION'!J93</f>
        <v>0</v>
      </c>
      <c r="M187" s="19">
        <f ca="1">'2ER PERIODOADMINISTRACION'!K93</f>
        <v>0</v>
      </c>
      <c r="N187" s="19">
        <f ca="1">'2ER PERIODOADMINISTRACION'!L93</f>
        <v>0</v>
      </c>
      <c r="O187" s="19">
        <f ca="1">'2ER PERIODOADMINISTRACION'!M93</f>
        <v>0</v>
      </c>
      <c r="P187" s="19">
        <f ca="1">'2ER PERIODOADMINISTRACION'!N93</f>
        <v>0</v>
      </c>
      <c r="Q187" s="19">
        <f ca="1">'2ER PERIODOADMINISTRACION'!O93</f>
        <v>0</v>
      </c>
      <c r="R187" s="19">
        <f ca="1">'2ER PERIODOADMINISTRACION'!P93</f>
        <v>0</v>
      </c>
      <c r="S187" s="19">
        <f ca="1">'2ER PERIODOADMINISTRACION'!Q93</f>
        <v>0</v>
      </c>
      <c r="T187" s="19">
        <f ca="1">'2ER PERIODOADMINISTRACION'!R93</f>
        <v>0</v>
      </c>
      <c r="U187" s="21">
        <f ca="1">'2ER PERIODOADMINISTRACION'!S93</f>
        <v>0</v>
      </c>
    </row>
    <row r="188" spans="1:21" ht="39.75" customHeight="1">
      <c r="A188" s="51"/>
      <c r="B188" s="51"/>
      <c r="C188" s="7" t="s">
        <v>226</v>
      </c>
      <c r="D188" s="32">
        <v>594</v>
      </c>
      <c r="E188" s="16" t="str">
        <f ca="1">'1ER PERIODOADMINISTRACION'!C94</f>
        <v>ATENCIONES</v>
      </c>
      <c r="F188" s="16" t="str">
        <f ca="1">'1ER PERIODOADMINISTRACION'!D94</f>
        <v>ASCENDENTE</v>
      </c>
      <c r="G188" s="16" t="str">
        <f ca="1">'1ER PERIODOADMINISTRACION'!E94</f>
        <v>BITACORA OPERATIVA</v>
      </c>
      <c r="H188" s="18">
        <f ca="1">'2ER PERIODOADMINISTRACION'!F94</f>
        <v>0</v>
      </c>
      <c r="I188" s="19">
        <f ca="1">'2ER PERIODOADMINISTRACION'!G94</f>
        <v>0</v>
      </c>
      <c r="J188" s="19">
        <f ca="1">'2ER PERIODOADMINISTRACION'!H94</f>
        <v>0</v>
      </c>
      <c r="K188" s="19">
        <f ca="1">'2ER PERIODOADMINISTRACION'!I94</f>
        <v>0</v>
      </c>
      <c r="L188" s="19">
        <f ca="1">'2ER PERIODOADMINISTRACION'!J94</f>
        <v>0</v>
      </c>
      <c r="M188" s="19">
        <f ca="1">'2ER PERIODOADMINISTRACION'!K94</f>
        <v>0</v>
      </c>
      <c r="N188" s="19">
        <f ca="1">'2ER PERIODOADMINISTRACION'!L94</f>
        <v>0</v>
      </c>
      <c r="O188" s="19">
        <f ca="1">'2ER PERIODOADMINISTRACION'!M94</f>
        <v>0</v>
      </c>
      <c r="P188" s="19">
        <f ca="1">'2ER PERIODOADMINISTRACION'!N94</f>
        <v>0</v>
      </c>
      <c r="Q188" s="19">
        <f ca="1">'2ER PERIODOADMINISTRACION'!O94</f>
        <v>0</v>
      </c>
      <c r="R188" s="19">
        <f ca="1">'2ER PERIODOADMINISTRACION'!P94</f>
        <v>0</v>
      </c>
      <c r="S188" s="19">
        <f ca="1">'2ER PERIODOADMINISTRACION'!Q94</f>
        <v>0</v>
      </c>
      <c r="T188" s="19">
        <f ca="1">'2ER PERIODOADMINISTRACION'!R94</f>
        <v>0</v>
      </c>
      <c r="U188" s="21">
        <f ca="1">'2ER PERIODOADMINISTRACION'!S94</f>
        <v>0</v>
      </c>
    </row>
    <row r="189" spans="1:21" ht="39.75" customHeight="1">
      <c r="A189" s="52" t="s">
        <v>227</v>
      </c>
      <c r="B189" s="52" t="s">
        <v>227</v>
      </c>
      <c r="C189" s="31" t="s">
        <v>501</v>
      </c>
      <c r="D189" s="16">
        <v>179</v>
      </c>
      <c r="E189" s="16" t="s">
        <v>229</v>
      </c>
      <c r="F189" s="16" t="s">
        <v>286</v>
      </c>
      <c r="G189" s="16" t="s">
        <v>292</v>
      </c>
      <c r="H189" s="18">
        <f ca="1">'2DODESECO'!F2</f>
        <v>200</v>
      </c>
      <c r="I189" s="19">
        <f ca="1">'2DODESECO'!G2</f>
        <v>1</v>
      </c>
      <c r="J189" s="19">
        <f ca="1">'2DODESECO'!H2</f>
        <v>0</v>
      </c>
      <c r="K189" s="19">
        <f ca="1">'2DODESECO'!I2</f>
        <v>0</v>
      </c>
      <c r="L189" s="19">
        <f ca="1">'2DODESECO'!J2</f>
        <v>1</v>
      </c>
      <c r="M189" s="19">
        <f ca="1">'2DODESECO'!K2</f>
        <v>0</v>
      </c>
      <c r="N189" s="19">
        <f ca="1">'2DODESECO'!L2</f>
        <v>0</v>
      </c>
      <c r="O189" s="19">
        <f ca="1">'2DODESECO'!M2</f>
        <v>0</v>
      </c>
      <c r="P189" s="19">
        <f ca="1">'2DODESECO'!N2</f>
        <v>0</v>
      </c>
      <c r="Q189" s="19">
        <f ca="1">'2DODESECO'!O2</f>
        <v>0</v>
      </c>
      <c r="R189" s="19">
        <f ca="1">'2DODESECO'!P2</f>
        <v>0</v>
      </c>
      <c r="S189" s="19">
        <f ca="1">'2DODESECO'!Q2</f>
        <v>0</v>
      </c>
      <c r="T189" s="19">
        <f ca="1">'2DODESECO'!R2</f>
        <v>0</v>
      </c>
      <c r="U189" s="21">
        <f ca="1">'2DODESECO'!S2</f>
        <v>2</v>
      </c>
    </row>
    <row r="190" spans="1:21" ht="39.75" customHeight="1">
      <c r="A190" s="53"/>
      <c r="B190" s="53"/>
      <c r="C190" s="31" t="s">
        <v>230</v>
      </c>
      <c r="D190" s="16">
        <v>7521</v>
      </c>
      <c r="E190" s="16" t="s">
        <v>231</v>
      </c>
      <c r="F190" s="16" t="s">
        <v>286</v>
      </c>
      <c r="G190" s="16" t="s">
        <v>292</v>
      </c>
      <c r="H190" s="19">
        <f ca="1">'2DODESECO'!F3</f>
        <v>5550000</v>
      </c>
      <c r="I190" s="19">
        <f ca="1">'2DODESECO'!G3</f>
        <v>55000</v>
      </c>
      <c r="J190" s="19">
        <f ca="1">'2DODESECO'!H3</f>
        <v>0</v>
      </c>
      <c r="K190" s="19">
        <f ca="1">'2DODESECO'!I3</f>
        <v>0</v>
      </c>
      <c r="L190" s="19">
        <f ca="1">'2DODESECO'!J3</f>
        <v>500</v>
      </c>
      <c r="M190" s="19">
        <f ca="1">'2DODESECO'!K3</f>
        <v>0</v>
      </c>
      <c r="N190" s="19">
        <f ca="1">'2DODESECO'!L3</f>
        <v>0</v>
      </c>
      <c r="O190" s="19">
        <f ca="1">'2DODESECO'!M3</f>
        <v>0</v>
      </c>
      <c r="P190" s="19">
        <f ca="1">'2DODESECO'!N3</f>
        <v>0</v>
      </c>
      <c r="Q190" s="19">
        <f ca="1">'2DODESECO'!O3</f>
        <v>0</v>
      </c>
      <c r="R190" s="19">
        <f ca="1">'2DODESECO'!P3</f>
        <v>0</v>
      </c>
      <c r="S190" s="19">
        <f ca="1">'2DODESECO'!Q3</f>
        <v>0</v>
      </c>
      <c r="T190" s="19">
        <f ca="1">'2DODESECO'!R3</f>
        <v>0</v>
      </c>
      <c r="U190" s="21">
        <f ca="1">'2DODESECO'!S3</f>
        <v>55500</v>
      </c>
    </row>
    <row r="191" spans="1:21" ht="39.75" customHeight="1">
      <c r="A191" s="53"/>
      <c r="B191" s="53"/>
      <c r="C191" s="31" t="s">
        <v>502</v>
      </c>
      <c r="D191" s="16">
        <v>87</v>
      </c>
      <c r="E191" s="16" t="s">
        <v>233</v>
      </c>
      <c r="F191" s="16" t="s">
        <v>286</v>
      </c>
      <c r="G191" s="16" t="s">
        <v>292</v>
      </c>
      <c r="H191" s="18">
        <f ca="1">'2DODESECO'!F4</f>
        <v>1400</v>
      </c>
      <c r="I191" s="19">
        <f ca="1">'2DODESECO'!G4</f>
        <v>14</v>
      </c>
      <c r="J191" s="19">
        <f ca="1">'2DODESECO'!H4</f>
        <v>0</v>
      </c>
      <c r="K191" s="19">
        <f ca="1">'2DODESECO'!I4</f>
        <v>0</v>
      </c>
      <c r="L191" s="19">
        <f ca="1">'2DODESECO'!J4</f>
        <v>0</v>
      </c>
      <c r="M191" s="19">
        <f ca="1">'2DODESECO'!K4</f>
        <v>0</v>
      </c>
      <c r="N191" s="19">
        <f ca="1">'2DODESECO'!L4</f>
        <v>0</v>
      </c>
      <c r="O191" s="19">
        <f ca="1">'2DODESECO'!M4</f>
        <v>0</v>
      </c>
      <c r="P191" s="19">
        <f ca="1">'2DODESECO'!N4</f>
        <v>0</v>
      </c>
      <c r="Q191" s="19">
        <f ca="1">'2DODESECO'!O4</f>
        <v>0</v>
      </c>
      <c r="R191" s="19">
        <f ca="1">'2DODESECO'!P4</f>
        <v>0</v>
      </c>
      <c r="S191" s="19">
        <f ca="1">'2DODESECO'!Q4</f>
        <v>0</v>
      </c>
      <c r="T191" s="19">
        <f ca="1">'2DODESECO'!R4</f>
        <v>0</v>
      </c>
      <c r="U191" s="21">
        <f ca="1">'2DODESECO'!S4</f>
        <v>14</v>
      </c>
    </row>
    <row r="192" spans="1:21" ht="39.75" customHeight="1">
      <c r="A192" s="53"/>
      <c r="B192" s="53"/>
      <c r="C192" s="31" t="s">
        <v>234</v>
      </c>
      <c r="D192" s="16">
        <v>305</v>
      </c>
      <c r="E192" s="16" t="s">
        <v>235</v>
      </c>
      <c r="F192" s="16" t="s">
        <v>286</v>
      </c>
      <c r="G192" s="16" t="s">
        <v>292</v>
      </c>
      <c r="H192" s="18">
        <f ca="1">'2DODESECO'!F5</f>
        <v>14700</v>
      </c>
      <c r="I192" s="19">
        <f ca="1">'2DODESECO'!G5</f>
        <v>88</v>
      </c>
      <c r="J192" s="19">
        <f ca="1">'2DODESECO'!H5</f>
        <v>0</v>
      </c>
      <c r="K192" s="19">
        <f ca="1">'2DODESECO'!I5</f>
        <v>0</v>
      </c>
      <c r="L192" s="19">
        <f ca="1">'2DODESECO'!J5</f>
        <v>59</v>
      </c>
      <c r="M192" s="19">
        <f ca="1">'2DODESECO'!K5</f>
        <v>0</v>
      </c>
      <c r="N192" s="19">
        <f ca="1">'2DODESECO'!L5</f>
        <v>0</v>
      </c>
      <c r="O192" s="19">
        <f ca="1">'2DODESECO'!M5</f>
        <v>0</v>
      </c>
      <c r="P192" s="19">
        <f ca="1">'2DODESECO'!N5</f>
        <v>0</v>
      </c>
      <c r="Q192" s="19">
        <f ca="1">'2DODESECO'!O5</f>
        <v>0</v>
      </c>
      <c r="R192" s="19">
        <f ca="1">'2DODESECO'!P5</f>
        <v>0</v>
      </c>
      <c r="S192" s="19">
        <f ca="1">'2DODESECO'!Q5</f>
        <v>0</v>
      </c>
      <c r="T192" s="19">
        <f ca="1">'2DODESECO'!R5</f>
        <v>0</v>
      </c>
      <c r="U192" s="21">
        <f ca="1">'2DODESECO'!S5</f>
        <v>147</v>
      </c>
    </row>
    <row r="193" spans="1:21" ht="39.75" customHeight="1">
      <c r="A193" s="53"/>
      <c r="B193" s="53"/>
      <c r="C193" s="31" t="s">
        <v>236</v>
      </c>
      <c r="D193" s="16">
        <v>603</v>
      </c>
      <c r="E193" s="16" t="s">
        <v>231</v>
      </c>
      <c r="F193" s="16" t="s">
        <v>286</v>
      </c>
      <c r="G193" s="16" t="s">
        <v>292</v>
      </c>
      <c r="H193" s="18">
        <f ca="1">'2DODESECO'!F6</f>
        <v>8900</v>
      </c>
      <c r="I193" s="19">
        <f ca="1">'2DODESECO'!G6</f>
        <v>89</v>
      </c>
      <c r="J193" s="19">
        <f ca="1">'2DODESECO'!H6</f>
        <v>0</v>
      </c>
      <c r="K193" s="19">
        <f ca="1">'2DODESECO'!I6</f>
        <v>0</v>
      </c>
      <c r="L193" s="19">
        <f ca="1">'2DODESECO'!J6</f>
        <v>0</v>
      </c>
      <c r="M193" s="19">
        <f ca="1">'2DODESECO'!K6</f>
        <v>0</v>
      </c>
      <c r="N193" s="19">
        <f ca="1">'2DODESECO'!L6</f>
        <v>0</v>
      </c>
      <c r="O193" s="19">
        <f ca="1">'2DODESECO'!M6</f>
        <v>0</v>
      </c>
      <c r="P193" s="19">
        <f ca="1">'2DODESECO'!N6</f>
        <v>0</v>
      </c>
      <c r="Q193" s="19">
        <f ca="1">'2DODESECO'!O6</f>
        <v>0</v>
      </c>
      <c r="R193" s="19">
        <f ca="1">'2DODESECO'!P6</f>
        <v>0</v>
      </c>
      <c r="S193" s="19">
        <f ca="1">'2DODESECO'!Q6</f>
        <v>0</v>
      </c>
      <c r="T193" s="19">
        <f ca="1">'2DODESECO'!R6</f>
        <v>0</v>
      </c>
      <c r="U193" s="21">
        <f ca="1">'2DODESECO'!S6</f>
        <v>89</v>
      </c>
    </row>
    <row r="194" spans="1:21" ht="39.75" customHeight="1">
      <c r="A194" s="53"/>
      <c r="B194" s="53"/>
      <c r="C194" s="31" t="s">
        <v>237</v>
      </c>
      <c r="D194" s="16">
        <v>290</v>
      </c>
      <c r="E194" s="16" t="s">
        <v>238</v>
      </c>
      <c r="F194" s="16" t="s">
        <v>286</v>
      </c>
      <c r="G194" s="16" t="s">
        <v>292</v>
      </c>
      <c r="H194" s="18">
        <f ca="1">'2DODESECO'!F7</f>
        <v>600</v>
      </c>
      <c r="I194" s="19">
        <f ca="1">'2DODESECO'!G7</f>
        <v>5</v>
      </c>
      <c r="J194" s="19">
        <f ca="1">'2DODESECO'!H7</f>
        <v>0</v>
      </c>
      <c r="K194" s="19">
        <f ca="1">'2DODESECO'!I7</f>
        <v>0</v>
      </c>
      <c r="L194" s="19">
        <f ca="1">'2DODESECO'!J7</f>
        <v>1</v>
      </c>
      <c r="M194" s="19">
        <f ca="1">'2DODESECO'!K7</f>
        <v>0</v>
      </c>
      <c r="N194" s="19">
        <f ca="1">'2DODESECO'!L7</f>
        <v>0</v>
      </c>
      <c r="O194" s="19">
        <f ca="1">'2DODESECO'!M7</f>
        <v>0</v>
      </c>
      <c r="P194" s="19">
        <f ca="1">'2DODESECO'!N7</f>
        <v>0</v>
      </c>
      <c r="Q194" s="19">
        <f ca="1">'2DODESECO'!O7</f>
        <v>0</v>
      </c>
      <c r="R194" s="19">
        <f ca="1">'2DODESECO'!P7</f>
        <v>0</v>
      </c>
      <c r="S194" s="19">
        <f ca="1">'2DODESECO'!Q7</f>
        <v>0</v>
      </c>
      <c r="T194" s="19">
        <f ca="1">'2DODESECO'!R7</f>
        <v>0</v>
      </c>
      <c r="U194" s="21">
        <f ca="1">'2DODESECO'!S7</f>
        <v>6</v>
      </c>
    </row>
    <row r="195" spans="1:21" ht="39.75" customHeight="1">
      <c r="A195" s="53"/>
      <c r="B195" s="53"/>
      <c r="C195" s="31" t="s">
        <v>239</v>
      </c>
      <c r="D195" s="16">
        <v>2658</v>
      </c>
      <c r="E195" s="16" t="s">
        <v>240</v>
      </c>
      <c r="F195" s="16" t="s">
        <v>286</v>
      </c>
      <c r="G195" s="16" t="s">
        <v>292</v>
      </c>
      <c r="H195" s="18">
        <f ca="1">'2DODESECO'!F8</f>
        <v>24400</v>
      </c>
      <c r="I195" s="19">
        <f ca="1">'2DODESECO'!G8</f>
        <v>0</v>
      </c>
      <c r="J195" s="19">
        <f ca="1">'2DODESECO'!H8</f>
        <v>0</v>
      </c>
      <c r="K195" s="19">
        <f ca="1">'2DODESECO'!I8</f>
        <v>0</v>
      </c>
      <c r="L195" s="19">
        <f ca="1">'2DODESECO'!J8</f>
        <v>244</v>
      </c>
      <c r="M195" s="19">
        <f ca="1">'2DODESECO'!K8</f>
        <v>0</v>
      </c>
      <c r="N195" s="19">
        <f ca="1">'2DODESECO'!L8</f>
        <v>0</v>
      </c>
      <c r="O195" s="19">
        <f ca="1">'2DODESECO'!M8</f>
        <v>0</v>
      </c>
      <c r="P195" s="19">
        <f ca="1">'2DODESECO'!N8</f>
        <v>0</v>
      </c>
      <c r="Q195" s="19">
        <f ca="1">'2DODESECO'!O8</f>
        <v>0</v>
      </c>
      <c r="R195" s="19">
        <f ca="1">'2DODESECO'!P8</f>
        <v>0</v>
      </c>
      <c r="S195" s="19">
        <f ca="1">'2DODESECO'!Q8</f>
        <v>0</v>
      </c>
      <c r="T195" s="19">
        <f ca="1">'2DODESECO'!R8</f>
        <v>0</v>
      </c>
      <c r="U195" s="21">
        <f ca="1">'2DODESECO'!S8</f>
        <v>244</v>
      </c>
    </row>
    <row r="196" spans="1:21" ht="39.75" customHeight="1">
      <c r="A196" s="53"/>
      <c r="B196" s="51"/>
      <c r="C196" s="31" t="s">
        <v>503</v>
      </c>
      <c r="D196" s="16">
        <v>1339</v>
      </c>
      <c r="E196" s="16" t="s">
        <v>242</v>
      </c>
      <c r="F196" s="16" t="s">
        <v>286</v>
      </c>
      <c r="G196" s="16" t="s">
        <v>292</v>
      </c>
      <c r="H196" s="18">
        <f ca="1">'2DODESECO'!F9</f>
        <v>14700</v>
      </c>
      <c r="I196" s="19">
        <f ca="1">'2DODESECO'!G9</f>
        <v>88</v>
      </c>
      <c r="J196" s="19">
        <f ca="1">'2DODESECO'!H9</f>
        <v>0</v>
      </c>
      <c r="K196" s="19">
        <f ca="1">'2DODESECO'!I9</f>
        <v>0</v>
      </c>
      <c r="L196" s="19">
        <f ca="1">'2DODESECO'!J9</f>
        <v>59</v>
      </c>
      <c r="M196" s="19">
        <f ca="1">'2DODESECO'!K9</f>
        <v>0</v>
      </c>
      <c r="N196" s="19">
        <f ca="1">'2DODESECO'!L9</f>
        <v>0</v>
      </c>
      <c r="O196" s="19">
        <f ca="1">'2DODESECO'!M9</f>
        <v>0</v>
      </c>
      <c r="P196" s="19">
        <f ca="1">'2DODESECO'!N9</f>
        <v>0</v>
      </c>
      <c r="Q196" s="19">
        <f ca="1">'2DODESECO'!O9</f>
        <v>0</v>
      </c>
      <c r="R196" s="19">
        <f ca="1">'2DODESECO'!P9</f>
        <v>0</v>
      </c>
      <c r="S196" s="19">
        <f ca="1">'2DODESECO'!Q9</f>
        <v>0</v>
      </c>
      <c r="T196" s="19">
        <f ca="1">'2DODESECO'!R9</f>
        <v>0</v>
      </c>
      <c r="U196" s="21">
        <f ca="1">'2DODESECO'!S9</f>
        <v>147</v>
      </c>
    </row>
    <row r="197" spans="1:21" ht="39.75" customHeight="1">
      <c r="A197" s="53"/>
      <c r="B197" s="13" t="s">
        <v>243</v>
      </c>
      <c r="C197" s="31" t="s">
        <v>244</v>
      </c>
      <c r="D197" s="16">
        <v>1</v>
      </c>
      <c r="E197" s="16" t="s">
        <v>245</v>
      </c>
      <c r="F197" s="16" t="s">
        <v>286</v>
      </c>
      <c r="G197" s="16" t="s">
        <v>292</v>
      </c>
      <c r="H197" s="18">
        <f ca="1">'2DODESECO'!F10</f>
        <v>500</v>
      </c>
      <c r="I197" s="19">
        <f ca="1">'2DODESECO'!G10</f>
        <v>0</v>
      </c>
      <c r="J197" s="19">
        <f ca="1">'2DODESECO'!H10</f>
        <v>0</v>
      </c>
      <c r="K197" s="19">
        <f ca="1">'2DODESECO'!I10</f>
        <v>0</v>
      </c>
      <c r="L197" s="19">
        <f ca="1">'2DODESECO'!J10</f>
        <v>5</v>
      </c>
      <c r="M197" s="19">
        <f ca="1">'2DODESECO'!K10</f>
        <v>0</v>
      </c>
      <c r="N197" s="19">
        <f ca="1">'2DODESECO'!L10</f>
        <v>0</v>
      </c>
      <c r="O197" s="19">
        <f ca="1">'2DODESECO'!M10</f>
        <v>0</v>
      </c>
      <c r="P197" s="19">
        <f ca="1">'2DODESECO'!N10</f>
        <v>0</v>
      </c>
      <c r="Q197" s="19">
        <f ca="1">'2DODESECO'!O10</f>
        <v>0</v>
      </c>
      <c r="R197" s="19">
        <f ca="1">'2DODESECO'!P10</f>
        <v>0</v>
      </c>
      <c r="S197" s="19">
        <f ca="1">'2DODESECO'!Q10</f>
        <v>0</v>
      </c>
      <c r="T197" s="19">
        <f ca="1">'2DODESECO'!R10</f>
        <v>0</v>
      </c>
      <c r="U197" s="21">
        <f ca="1">'2DODESECO'!S10</f>
        <v>5</v>
      </c>
    </row>
    <row r="198" spans="1:21" ht="39.75" customHeight="1">
      <c r="A198" s="53"/>
      <c r="B198" s="52" t="s">
        <v>246</v>
      </c>
      <c r="C198" s="31" t="s">
        <v>247</v>
      </c>
      <c r="D198" s="16">
        <v>3</v>
      </c>
      <c r="E198" s="16" t="s">
        <v>242</v>
      </c>
      <c r="F198" s="16" t="s">
        <v>286</v>
      </c>
      <c r="G198" s="16" t="s">
        <v>292</v>
      </c>
      <c r="H198" s="18">
        <f ca="1">'2DODESECO'!F11</f>
        <v>900</v>
      </c>
      <c r="I198" s="19">
        <f ca="1">'2DODESECO'!G11</f>
        <v>0</v>
      </c>
      <c r="J198" s="19">
        <f ca="1">'2DODESECO'!H11</f>
        <v>0</v>
      </c>
      <c r="K198" s="19">
        <f ca="1">'2DODESECO'!I11</f>
        <v>0</v>
      </c>
      <c r="L198" s="19">
        <f ca="1">'2DODESECO'!J11</f>
        <v>9</v>
      </c>
      <c r="M198" s="19">
        <f ca="1">'2DODESECO'!K11</f>
        <v>0</v>
      </c>
      <c r="N198" s="19">
        <f ca="1">'2DODESECO'!L11</f>
        <v>0</v>
      </c>
      <c r="O198" s="19">
        <f ca="1">'2DODESECO'!M11</f>
        <v>0</v>
      </c>
      <c r="P198" s="19">
        <f ca="1">'2DODESECO'!N11</f>
        <v>0</v>
      </c>
      <c r="Q198" s="19">
        <f ca="1">'2DODESECO'!O11</f>
        <v>0</v>
      </c>
      <c r="R198" s="19">
        <f ca="1">'2DODESECO'!P11</f>
        <v>0</v>
      </c>
      <c r="S198" s="19">
        <f ca="1">'2DODESECO'!Q11</f>
        <v>0</v>
      </c>
      <c r="T198" s="19">
        <f ca="1">'2DODESECO'!R11</f>
        <v>0</v>
      </c>
      <c r="U198" s="21">
        <f ca="1">'2DODESECO'!S11</f>
        <v>9</v>
      </c>
    </row>
    <row r="199" spans="1:21" ht="39.75" customHeight="1">
      <c r="A199" s="53"/>
      <c r="B199" s="53"/>
      <c r="C199" s="31" t="s">
        <v>38</v>
      </c>
      <c r="D199" s="16">
        <v>500</v>
      </c>
      <c r="E199" s="16" t="s">
        <v>38</v>
      </c>
      <c r="F199" s="16" t="s">
        <v>286</v>
      </c>
      <c r="G199" s="16" t="s">
        <v>292</v>
      </c>
      <c r="H199" s="18">
        <f ca="1">'2DODESECO'!F12</f>
        <v>0</v>
      </c>
      <c r="I199" s="19">
        <f ca="1">'2DODESECO'!G12</f>
        <v>0</v>
      </c>
      <c r="J199" s="19">
        <f ca="1">'2DODESECO'!H12</f>
        <v>0</v>
      </c>
      <c r="K199" s="19">
        <f ca="1">'2DODESECO'!I12</f>
        <v>0</v>
      </c>
      <c r="L199" s="19">
        <f ca="1">'2DODESECO'!J12</f>
        <v>0</v>
      </c>
      <c r="M199" s="19">
        <f ca="1">'2DODESECO'!K12</f>
        <v>0</v>
      </c>
      <c r="N199" s="19">
        <f ca="1">'2DODESECO'!L12</f>
        <v>0</v>
      </c>
      <c r="O199" s="19">
        <f ca="1">'2DODESECO'!M12</f>
        <v>0</v>
      </c>
      <c r="P199" s="19">
        <f ca="1">'2DODESECO'!N12</f>
        <v>0</v>
      </c>
      <c r="Q199" s="19">
        <f ca="1">'2DODESECO'!O12</f>
        <v>0</v>
      </c>
      <c r="R199" s="19">
        <f ca="1">'2DODESECO'!P12</f>
        <v>0</v>
      </c>
      <c r="S199" s="19">
        <f ca="1">'2DODESECO'!Q12</f>
        <v>0</v>
      </c>
      <c r="T199" s="19">
        <f ca="1">'2DODESECO'!R12</f>
        <v>0</v>
      </c>
      <c r="U199" s="21">
        <f ca="1">'2DODESECO'!S12</f>
        <v>0</v>
      </c>
    </row>
    <row r="200" spans="1:21" ht="39.75" customHeight="1">
      <c r="A200" s="53"/>
      <c r="B200" s="53"/>
      <c r="C200" s="31" t="s">
        <v>248</v>
      </c>
      <c r="D200" s="16">
        <v>17</v>
      </c>
      <c r="E200" s="16" t="s">
        <v>242</v>
      </c>
      <c r="F200" s="16" t="s">
        <v>286</v>
      </c>
      <c r="G200" s="16" t="s">
        <v>292</v>
      </c>
      <c r="H200" s="18">
        <f ca="1">'2DODESECO'!F13</f>
        <v>3700</v>
      </c>
      <c r="I200" s="19">
        <f ca="1">'2DODESECO'!G13</f>
        <v>28</v>
      </c>
      <c r="J200" s="19">
        <f ca="1">'2DODESECO'!H13</f>
        <v>0</v>
      </c>
      <c r="K200" s="19">
        <f ca="1">'2DODESECO'!I13</f>
        <v>0</v>
      </c>
      <c r="L200" s="19">
        <f ca="1">'2DODESECO'!J13</f>
        <v>9</v>
      </c>
      <c r="M200" s="19">
        <f ca="1">'2DODESECO'!K13</f>
        <v>0</v>
      </c>
      <c r="N200" s="19">
        <f ca="1">'2DODESECO'!L13</f>
        <v>0</v>
      </c>
      <c r="O200" s="19">
        <f ca="1">'2DODESECO'!M13</f>
        <v>0</v>
      </c>
      <c r="P200" s="19">
        <f ca="1">'2DODESECO'!N13</f>
        <v>0</v>
      </c>
      <c r="Q200" s="19">
        <f ca="1">'2DODESECO'!O13</f>
        <v>0</v>
      </c>
      <c r="R200" s="19">
        <f ca="1">'2DODESECO'!P13</f>
        <v>0</v>
      </c>
      <c r="S200" s="19">
        <f ca="1">'2DODESECO'!Q13</f>
        <v>0</v>
      </c>
      <c r="T200" s="19">
        <f ca="1">'2DODESECO'!R13</f>
        <v>0</v>
      </c>
      <c r="U200" s="21">
        <f ca="1">'2DODESECO'!S13</f>
        <v>37</v>
      </c>
    </row>
    <row r="201" spans="1:21" ht="39.75" customHeight="1">
      <c r="A201" s="53"/>
      <c r="B201" s="53"/>
      <c r="C201" s="31" t="s">
        <v>38</v>
      </c>
      <c r="D201" s="16">
        <v>1348</v>
      </c>
      <c r="E201" s="16" t="s">
        <v>38</v>
      </c>
      <c r="F201" s="16" t="s">
        <v>286</v>
      </c>
      <c r="G201" s="16" t="s">
        <v>292</v>
      </c>
      <c r="H201" s="18">
        <f ca="1">'2DODESECO'!F14</f>
        <v>2800</v>
      </c>
      <c r="I201" s="19">
        <f ca="1">'2DODESECO'!G14</f>
        <v>28</v>
      </c>
      <c r="J201" s="19">
        <f ca="1">'2DODESECO'!H14</f>
        <v>0</v>
      </c>
      <c r="K201" s="19">
        <f ca="1">'2DODESECO'!I14</f>
        <v>0</v>
      </c>
      <c r="L201" s="19">
        <f ca="1">'2DODESECO'!J14</f>
        <v>0</v>
      </c>
      <c r="M201" s="19">
        <f ca="1">'2DODESECO'!K14</f>
        <v>0</v>
      </c>
      <c r="N201" s="19">
        <f ca="1">'2DODESECO'!L14</f>
        <v>0</v>
      </c>
      <c r="O201" s="19">
        <f ca="1">'2DODESECO'!M14</f>
        <v>0</v>
      </c>
      <c r="P201" s="19">
        <f ca="1">'2DODESECO'!N14</f>
        <v>0</v>
      </c>
      <c r="Q201" s="19">
        <f ca="1">'2DODESECO'!O14</f>
        <v>0</v>
      </c>
      <c r="R201" s="19">
        <f ca="1">'2DODESECO'!P14</f>
        <v>0</v>
      </c>
      <c r="S201" s="19">
        <f ca="1">'2DODESECO'!Q14</f>
        <v>0</v>
      </c>
      <c r="T201" s="19">
        <f ca="1">'2DODESECO'!R14</f>
        <v>0</v>
      </c>
      <c r="U201" s="21">
        <f ca="1">'2DODESECO'!S14</f>
        <v>28</v>
      </c>
    </row>
    <row r="202" spans="1:21" ht="39.75" customHeight="1">
      <c r="A202" s="53"/>
      <c r="B202" s="53"/>
      <c r="C202" s="31" t="s">
        <v>249</v>
      </c>
      <c r="D202" s="16">
        <v>80</v>
      </c>
      <c r="E202" s="16" t="s">
        <v>242</v>
      </c>
      <c r="F202" s="16" t="s">
        <v>286</v>
      </c>
      <c r="G202" s="16" t="s">
        <v>292</v>
      </c>
      <c r="H202" s="18">
        <f ca="1">'2DODESECO'!F15</f>
        <v>10020900</v>
      </c>
      <c r="I202" s="19">
        <f ca="1">'2DODESECO'!G15</f>
        <v>100200</v>
      </c>
      <c r="J202" s="19">
        <f ca="1">'2DODESECO'!H15</f>
        <v>0</v>
      </c>
      <c r="K202" s="19">
        <f ca="1">'2DODESECO'!I15</f>
        <v>0</v>
      </c>
      <c r="L202" s="19">
        <f ca="1">'2DODESECO'!J15</f>
        <v>9</v>
      </c>
      <c r="M202" s="19">
        <f ca="1">'2DODESECO'!K15</f>
        <v>0</v>
      </c>
      <c r="N202" s="19">
        <f ca="1">'2DODESECO'!L15</f>
        <v>0</v>
      </c>
      <c r="O202" s="19">
        <f ca="1">'2DODESECO'!M15</f>
        <v>0</v>
      </c>
      <c r="P202" s="19">
        <f ca="1">'2DODESECO'!N15</f>
        <v>0</v>
      </c>
      <c r="Q202" s="19">
        <f ca="1">'2DODESECO'!O15</f>
        <v>0</v>
      </c>
      <c r="R202" s="19">
        <f ca="1">'2DODESECO'!P15</f>
        <v>0</v>
      </c>
      <c r="S202" s="19">
        <f ca="1">'2DODESECO'!Q15</f>
        <v>0</v>
      </c>
      <c r="T202" s="19">
        <f ca="1">'2DODESECO'!R15</f>
        <v>0</v>
      </c>
      <c r="U202" s="21">
        <f ca="1">'2DODESECO'!S15</f>
        <v>100209</v>
      </c>
    </row>
    <row r="203" spans="1:21" ht="39.75" customHeight="1">
      <c r="A203" s="53"/>
      <c r="B203" s="53"/>
      <c r="C203" s="31" t="s">
        <v>38</v>
      </c>
      <c r="D203" s="16">
        <v>2475</v>
      </c>
      <c r="E203" s="16" t="s">
        <v>250</v>
      </c>
      <c r="F203" s="16" t="s">
        <v>286</v>
      </c>
      <c r="G203" s="16" t="s">
        <v>292</v>
      </c>
      <c r="H203" s="18">
        <f ca="1">'2DODESECO'!F16</f>
        <v>28500</v>
      </c>
      <c r="I203" s="19">
        <f ca="1">'2DODESECO'!G16</f>
        <v>285</v>
      </c>
      <c r="J203" s="19">
        <f ca="1">'2DODESECO'!H16</f>
        <v>0</v>
      </c>
      <c r="K203" s="19">
        <f ca="1">'2DODESECO'!I16</f>
        <v>0</v>
      </c>
      <c r="L203" s="19">
        <f ca="1">'2DODESECO'!J16</f>
        <v>0</v>
      </c>
      <c r="M203" s="19">
        <f ca="1">'2DODESECO'!K16</f>
        <v>0</v>
      </c>
      <c r="N203" s="19">
        <f ca="1">'2DODESECO'!L16</f>
        <v>0</v>
      </c>
      <c r="O203" s="19">
        <f ca="1">'2DODESECO'!M16</f>
        <v>0</v>
      </c>
      <c r="P203" s="19">
        <f ca="1">'2DODESECO'!N16</f>
        <v>0</v>
      </c>
      <c r="Q203" s="19">
        <f ca="1">'2DODESECO'!O16</f>
        <v>0</v>
      </c>
      <c r="R203" s="19">
        <f ca="1">'2DODESECO'!P16</f>
        <v>0</v>
      </c>
      <c r="S203" s="19">
        <f ca="1">'2DODESECO'!Q16</f>
        <v>0</v>
      </c>
      <c r="T203" s="19">
        <f ca="1">'2DODESECO'!R16</f>
        <v>0</v>
      </c>
      <c r="U203" s="21">
        <f ca="1">'2DODESECO'!S16</f>
        <v>285</v>
      </c>
    </row>
    <row r="204" spans="1:21" ht="39.75" customHeight="1">
      <c r="A204" s="53"/>
      <c r="B204" s="53"/>
      <c r="C204" s="31" t="s">
        <v>504</v>
      </c>
      <c r="D204" s="16">
        <v>427</v>
      </c>
      <c r="E204" s="16" t="s">
        <v>252</v>
      </c>
      <c r="F204" s="16" t="s">
        <v>286</v>
      </c>
      <c r="G204" s="16" t="s">
        <v>292</v>
      </c>
      <c r="H204" s="18">
        <f ca="1">'2DODESECO'!F17</f>
        <v>2000</v>
      </c>
      <c r="I204" s="19">
        <f ca="1">'2DODESECO'!G17</f>
        <v>15</v>
      </c>
      <c r="J204" s="19">
        <f ca="1">'2DODESECO'!H17</f>
        <v>0</v>
      </c>
      <c r="K204" s="19">
        <f ca="1">'2DODESECO'!I17</f>
        <v>0</v>
      </c>
      <c r="L204" s="19">
        <f ca="1">'2DODESECO'!J17</f>
        <v>5</v>
      </c>
      <c r="M204" s="19">
        <f ca="1">'2DODESECO'!K17</f>
        <v>0</v>
      </c>
      <c r="N204" s="19">
        <f ca="1">'2DODESECO'!L17</f>
        <v>0</v>
      </c>
      <c r="O204" s="19">
        <f ca="1">'2DODESECO'!M17</f>
        <v>0</v>
      </c>
      <c r="P204" s="19">
        <f ca="1">'2DODESECO'!N17</f>
        <v>0</v>
      </c>
      <c r="Q204" s="19">
        <f ca="1">'2DODESECO'!O17</f>
        <v>0</v>
      </c>
      <c r="R204" s="19">
        <f ca="1">'2DODESECO'!P17</f>
        <v>0</v>
      </c>
      <c r="S204" s="19">
        <f ca="1">'2DODESECO'!Q17</f>
        <v>0</v>
      </c>
      <c r="T204" s="19">
        <f ca="1">'2DODESECO'!R17</f>
        <v>0</v>
      </c>
      <c r="U204" s="21">
        <f ca="1">'2DODESECO'!S17</f>
        <v>20</v>
      </c>
    </row>
    <row r="205" spans="1:21" ht="39.75" customHeight="1">
      <c r="A205" s="51"/>
      <c r="B205" s="51"/>
      <c r="C205" s="31" t="s">
        <v>253</v>
      </c>
      <c r="D205" s="16">
        <v>764</v>
      </c>
      <c r="E205" s="16" t="s">
        <v>254</v>
      </c>
      <c r="F205" s="16" t="s">
        <v>286</v>
      </c>
      <c r="G205" s="16" t="s">
        <v>292</v>
      </c>
      <c r="H205" s="18">
        <f ca="1">'2DODESECO'!F18</f>
        <v>14800</v>
      </c>
      <c r="I205" s="19">
        <f ca="1">'2DODESECO'!G18</f>
        <v>94</v>
      </c>
      <c r="J205" s="19">
        <f ca="1">'2DODESECO'!H18</f>
        <v>0</v>
      </c>
      <c r="K205" s="19">
        <f ca="1">'2DODESECO'!I18</f>
        <v>0</v>
      </c>
      <c r="L205" s="19">
        <f ca="1">'2DODESECO'!J18</f>
        <v>54</v>
      </c>
      <c r="M205" s="19">
        <f ca="1">'2DODESECO'!K18</f>
        <v>0</v>
      </c>
      <c r="N205" s="19">
        <f ca="1">'2DODESECO'!L18</f>
        <v>0</v>
      </c>
      <c r="O205" s="19">
        <f ca="1">'2DODESECO'!M18</f>
        <v>0</v>
      </c>
      <c r="P205" s="19">
        <f ca="1">'2DODESECO'!N18</f>
        <v>0</v>
      </c>
      <c r="Q205" s="19">
        <f ca="1">'2DODESECO'!O18</f>
        <v>0</v>
      </c>
      <c r="R205" s="19">
        <f ca="1">'2DODESECO'!P18</f>
        <v>0</v>
      </c>
      <c r="S205" s="19">
        <f ca="1">'2DODESECO'!Q18</f>
        <v>0</v>
      </c>
      <c r="T205" s="19">
        <f ca="1">'2DODESECO'!R18</f>
        <v>0</v>
      </c>
      <c r="U205" s="21">
        <f ca="1">'2DODESECO'!S18</f>
        <v>148</v>
      </c>
    </row>
    <row r="206" spans="1:21" ht="39.75" customHeight="1">
      <c r="A206" s="55" t="s">
        <v>255</v>
      </c>
      <c r="B206" s="55" t="s">
        <v>256</v>
      </c>
      <c r="C206" s="7" t="s">
        <v>257</v>
      </c>
      <c r="D206" s="16">
        <v>56</v>
      </c>
      <c r="E206" s="17" t="str">
        <f ca="1">'1ER PERIODO CONSTRUCCION DE LA '!C2</f>
        <v>COMITE</v>
      </c>
      <c r="F206" s="17" t="str">
        <f ca="1">'1ER PERIODO CONSTRUCCION DE LA '!D2</f>
        <v>ASCENDENTE</v>
      </c>
      <c r="G206" s="17" t="str">
        <f ca="1">'1ER PERIODO CONSTRUCCION DE LA '!E2</f>
        <v>SESIONES PUBLICAS</v>
      </c>
      <c r="H206" s="18">
        <f ca="1">'2ER PERIODO CONSTRUCCION DE LA '!F2</f>
        <v>6.8181818181818103</v>
      </c>
      <c r="I206" s="19">
        <f ca="1">'2ER PERIODO CONSTRUCCION DE LA '!G2</f>
        <v>4</v>
      </c>
      <c r="J206" s="19">
        <f ca="1">'2ER PERIODO CONSTRUCCION DE LA '!H2</f>
        <v>2</v>
      </c>
      <c r="K206" s="19">
        <f ca="1">'2ER PERIODO CONSTRUCCION DE LA '!I2</f>
        <v>0</v>
      </c>
      <c r="L206" s="19">
        <f ca="1">'2ER PERIODO CONSTRUCCION DE LA '!J2</f>
        <v>0</v>
      </c>
      <c r="M206" s="19">
        <f ca="1">'2ER PERIODO CONSTRUCCION DE LA '!K2</f>
        <v>0</v>
      </c>
      <c r="N206" s="19">
        <f ca="1">'2ER PERIODO CONSTRUCCION DE LA '!L2</f>
        <v>0</v>
      </c>
      <c r="O206" s="19">
        <f ca="1">'2ER PERIODO CONSTRUCCION DE LA '!M2</f>
        <v>0</v>
      </c>
      <c r="P206" s="19">
        <f ca="1">'2ER PERIODO CONSTRUCCION DE LA '!N2</f>
        <v>0</v>
      </c>
      <c r="Q206" s="19">
        <f ca="1">'2ER PERIODO CONSTRUCCION DE LA '!O2</f>
        <v>0</v>
      </c>
      <c r="R206" s="19">
        <f ca="1">'2ER PERIODO CONSTRUCCION DE LA '!P2</f>
        <v>0</v>
      </c>
      <c r="S206" s="19">
        <f ca="1">'2ER PERIODO CONSTRUCCION DE LA '!Q2</f>
        <v>0</v>
      </c>
      <c r="T206" s="19">
        <f ca="1">'2ER PERIODO CONSTRUCCION DE LA '!R2</f>
        <v>0</v>
      </c>
      <c r="U206" s="21">
        <f ca="1">'2ER PERIODO CONSTRUCCION DE LA '!S2</f>
        <v>6</v>
      </c>
    </row>
    <row r="207" spans="1:21" ht="39.75" customHeight="1">
      <c r="A207" s="53"/>
      <c r="B207" s="51"/>
      <c r="C207" s="7" t="s">
        <v>258</v>
      </c>
      <c r="D207" s="16">
        <v>109</v>
      </c>
      <c r="E207" s="17" t="str">
        <f ca="1">'1ER PERIODO CONSTRUCCION DE LA '!C3</f>
        <v>COMITE</v>
      </c>
      <c r="F207" s="17" t="str">
        <f ca="1">'1ER PERIODO CONSTRUCCION DE LA '!D3</f>
        <v>ASCENDENTE</v>
      </c>
      <c r="G207" s="17" t="str">
        <f ca="1">'1ER PERIODO CONSTRUCCION DE LA '!E3</f>
        <v>BITACORA DE ATENCION</v>
      </c>
      <c r="H207" s="18">
        <f ca="1">'2ER PERIODO CONSTRUCCION DE LA '!F3</f>
        <v>9.7222222222222197</v>
      </c>
      <c r="I207" s="19">
        <f ca="1">'2ER PERIODO CONSTRUCCION DE LA '!G3</f>
        <v>2</v>
      </c>
      <c r="J207" s="19">
        <f ca="1">'2ER PERIODO CONSTRUCCION DE LA '!H3</f>
        <v>3</v>
      </c>
      <c r="K207" s="19">
        <f ca="1">'2ER PERIODO CONSTRUCCION DE LA '!I3</f>
        <v>2</v>
      </c>
      <c r="L207" s="19">
        <f ca="1">'2ER PERIODO CONSTRUCCION DE LA '!J3</f>
        <v>0</v>
      </c>
      <c r="M207" s="19">
        <f ca="1">'2ER PERIODO CONSTRUCCION DE LA '!K3</f>
        <v>0</v>
      </c>
      <c r="N207" s="19">
        <f ca="1">'2ER PERIODO CONSTRUCCION DE LA '!L3</f>
        <v>0</v>
      </c>
      <c r="O207" s="19">
        <f ca="1">'2ER PERIODO CONSTRUCCION DE LA '!M3</f>
        <v>0</v>
      </c>
      <c r="P207" s="19">
        <f ca="1">'2ER PERIODO CONSTRUCCION DE LA '!N3</f>
        <v>0</v>
      </c>
      <c r="Q207" s="19">
        <f ca="1">'2ER PERIODO CONSTRUCCION DE LA '!O3</f>
        <v>0</v>
      </c>
      <c r="R207" s="19">
        <f ca="1">'2ER PERIODO CONSTRUCCION DE LA '!P3</f>
        <v>0</v>
      </c>
      <c r="S207" s="19">
        <f ca="1">'2ER PERIODO CONSTRUCCION DE LA '!Q3</f>
        <v>0</v>
      </c>
      <c r="T207" s="19">
        <f ca="1">'2ER PERIODO CONSTRUCCION DE LA '!R3</f>
        <v>0</v>
      </c>
      <c r="U207" s="21">
        <f ca="1">'2ER PERIODO CONSTRUCCION DE LA '!S3</f>
        <v>7</v>
      </c>
    </row>
    <row r="208" spans="1:21" ht="39.75" customHeight="1">
      <c r="A208" s="53"/>
      <c r="B208" s="50" t="s">
        <v>259</v>
      </c>
      <c r="C208" s="7" t="s">
        <v>260</v>
      </c>
      <c r="D208" s="16">
        <v>25</v>
      </c>
      <c r="E208" s="17" t="str">
        <f ca="1">'1ER PERIODO CONSTRUCCION DE LA '!C4</f>
        <v>EVENTO</v>
      </c>
      <c r="F208" s="17" t="str">
        <f ca="1">'1ER PERIODO CONSTRUCCION DE LA '!D4</f>
        <v>ASCENDENTE</v>
      </c>
      <c r="G208" s="17" t="str">
        <f ca="1">'1ER PERIODO CONSTRUCCION DE LA '!E4</f>
        <v>BITACORA DE ATENCION</v>
      </c>
      <c r="H208" s="18">
        <f ca="1">'2ER PERIODO CONSTRUCCION DE LA '!F4</f>
        <v>130.555555555555</v>
      </c>
      <c r="I208" s="19">
        <f ca="1">'2ER PERIODO CONSTRUCCION DE LA '!G4</f>
        <v>3</v>
      </c>
      <c r="J208" s="19">
        <f ca="1">'2ER PERIODO CONSTRUCCION DE LA '!H4</f>
        <v>44</v>
      </c>
      <c r="K208" s="19">
        <f ca="1">'2ER PERIODO CONSTRUCCION DE LA '!I4</f>
        <v>0</v>
      </c>
      <c r="L208" s="19">
        <f ca="1">'2ER PERIODO CONSTRUCCION DE LA '!J4</f>
        <v>0</v>
      </c>
      <c r="M208" s="19">
        <f ca="1">'2ER PERIODO CONSTRUCCION DE LA '!K4</f>
        <v>0</v>
      </c>
      <c r="N208" s="19">
        <f ca="1">'2ER PERIODO CONSTRUCCION DE LA '!L4</f>
        <v>0</v>
      </c>
      <c r="O208" s="19">
        <f ca="1">'2ER PERIODO CONSTRUCCION DE LA '!M4</f>
        <v>0</v>
      </c>
      <c r="P208" s="19">
        <f ca="1">'2ER PERIODO CONSTRUCCION DE LA '!N4</f>
        <v>0</v>
      </c>
      <c r="Q208" s="19">
        <f ca="1">'2ER PERIODO CONSTRUCCION DE LA '!O4</f>
        <v>0</v>
      </c>
      <c r="R208" s="19">
        <f ca="1">'2ER PERIODO CONSTRUCCION DE LA '!P4</f>
        <v>0</v>
      </c>
      <c r="S208" s="19">
        <f ca="1">'2ER PERIODO CONSTRUCCION DE LA '!Q4</f>
        <v>0</v>
      </c>
      <c r="T208" s="19">
        <f ca="1">'2ER PERIODO CONSTRUCCION DE LA '!R4</f>
        <v>0</v>
      </c>
      <c r="U208" s="21">
        <f ca="1">'2ER PERIODO CONSTRUCCION DE LA '!S4</f>
        <v>47</v>
      </c>
    </row>
    <row r="209" spans="1:21" ht="39.75" customHeight="1">
      <c r="A209" s="53"/>
      <c r="B209" s="53"/>
      <c r="C209" s="7" t="s">
        <v>261</v>
      </c>
      <c r="D209" s="16">
        <v>38</v>
      </c>
      <c r="E209" s="17" t="str">
        <f ca="1">'1ER PERIODO CONSTRUCCION DE LA '!C5</f>
        <v>TALLERES</v>
      </c>
      <c r="F209" s="17" t="str">
        <f ca="1">'1ER PERIODO CONSTRUCCION DE LA '!D5</f>
        <v>ASCENDENTE</v>
      </c>
      <c r="G209" s="17" t="str">
        <f ca="1">'1ER PERIODO CONSTRUCCION DE LA '!E5</f>
        <v>BITACORA OPERATIVA</v>
      </c>
      <c r="H209" s="18">
        <f ca="1">'2ER PERIODO CONSTRUCCION DE LA '!F5</f>
        <v>100</v>
      </c>
      <c r="I209" s="19">
        <f ca="1">'2ER PERIODO CONSTRUCCION DE LA '!G5</f>
        <v>1</v>
      </c>
      <c r="J209" s="19">
        <f ca="1">'2ER PERIODO CONSTRUCCION DE LA '!H5</f>
        <v>0</v>
      </c>
      <c r="K209" s="19">
        <f ca="1">'2ER PERIODO CONSTRUCCION DE LA '!I5</f>
        <v>0</v>
      </c>
      <c r="L209" s="19">
        <f ca="1">'2ER PERIODO CONSTRUCCION DE LA '!J5</f>
        <v>0</v>
      </c>
      <c r="M209" s="19">
        <f ca="1">'2ER PERIODO CONSTRUCCION DE LA '!K5</f>
        <v>0</v>
      </c>
      <c r="N209" s="19">
        <f ca="1">'2ER PERIODO CONSTRUCCION DE LA '!L5</f>
        <v>0</v>
      </c>
      <c r="O209" s="19">
        <f ca="1">'2ER PERIODO CONSTRUCCION DE LA '!M5</f>
        <v>0</v>
      </c>
      <c r="P209" s="19">
        <f ca="1">'2ER PERIODO CONSTRUCCION DE LA '!N5</f>
        <v>0</v>
      </c>
      <c r="Q209" s="19">
        <f ca="1">'2ER PERIODO CONSTRUCCION DE LA '!O5</f>
        <v>0</v>
      </c>
      <c r="R209" s="19">
        <f ca="1">'2ER PERIODO CONSTRUCCION DE LA '!P5</f>
        <v>0</v>
      </c>
      <c r="S209" s="19">
        <f ca="1">'2ER PERIODO CONSTRUCCION DE LA '!Q5</f>
        <v>0</v>
      </c>
      <c r="T209" s="19">
        <f ca="1">'2ER PERIODO CONSTRUCCION DE LA '!R5</f>
        <v>0</v>
      </c>
      <c r="U209" s="21">
        <f ca="1">'2ER PERIODO CONSTRUCCION DE LA '!S5</f>
        <v>1</v>
      </c>
    </row>
    <row r="210" spans="1:21" ht="39.75" customHeight="1">
      <c r="A210" s="53"/>
      <c r="B210" s="51"/>
      <c r="C210" s="7" t="s">
        <v>38</v>
      </c>
      <c r="D210" s="16">
        <v>20225</v>
      </c>
      <c r="E210" s="17" t="str">
        <f ca="1">'1ER PERIODO CONSTRUCCION DE LA '!C6</f>
        <v>PERSONAS</v>
      </c>
      <c r="F210" s="17" t="str">
        <f ca="1">'1ER PERIODO CONSTRUCCION DE LA '!D6</f>
        <v>ASCENDENTE</v>
      </c>
      <c r="G210" s="17" t="str">
        <f ca="1">'1ER PERIODO CONSTRUCCION DE LA '!E6</f>
        <v>BITACORA OPERATIVA</v>
      </c>
      <c r="H210" s="18">
        <f ca="1">'2ER PERIODO CONSTRUCCION DE LA '!F6</f>
        <v>36.563214013709</v>
      </c>
      <c r="I210" s="19">
        <f ca="1">'2ER PERIODO CONSTRUCCION DE LA '!G6</f>
        <v>2498</v>
      </c>
      <c r="J210" s="19">
        <f ca="1">'2ER PERIODO CONSTRUCCION DE LA '!H6</f>
        <v>13535</v>
      </c>
      <c r="K210" s="19">
        <f ca="1">'2ER PERIODO CONSTRUCCION DE LA '!I6</f>
        <v>3170</v>
      </c>
      <c r="L210" s="19">
        <f ca="1">'2ER PERIODO CONSTRUCCION DE LA '!J6</f>
        <v>0</v>
      </c>
      <c r="M210" s="19">
        <f ca="1">'2ER PERIODO CONSTRUCCION DE LA '!K6</f>
        <v>0</v>
      </c>
      <c r="N210" s="19">
        <f ca="1">'2ER PERIODO CONSTRUCCION DE LA '!L6</f>
        <v>0</v>
      </c>
      <c r="O210" s="19">
        <f ca="1">'2ER PERIODO CONSTRUCCION DE LA '!M6</f>
        <v>0</v>
      </c>
      <c r="P210" s="19">
        <f ca="1">'2ER PERIODO CONSTRUCCION DE LA '!N6</f>
        <v>0</v>
      </c>
      <c r="Q210" s="19">
        <f ca="1">'2ER PERIODO CONSTRUCCION DE LA '!O6</f>
        <v>0</v>
      </c>
      <c r="R210" s="19">
        <f ca="1">'2ER PERIODO CONSTRUCCION DE LA '!P6</f>
        <v>0</v>
      </c>
      <c r="S210" s="19">
        <f ca="1">'2ER PERIODO CONSTRUCCION DE LA '!Q6</f>
        <v>0</v>
      </c>
      <c r="T210" s="19">
        <f ca="1">'2ER PERIODO CONSTRUCCION DE LA '!R6</f>
        <v>0</v>
      </c>
      <c r="U210" s="21">
        <f ca="1">'2ER PERIODO CONSTRUCCION DE LA '!S6</f>
        <v>19203</v>
      </c>
    </row>
    <row r="211" spans="1:21" ht="39.75" customHeight="1">
      <c r="A211" s="53"/>
      <c r="B211" s="50" t="s">
        <v>262</v>
      </c>
      <c r="C211" s="22" t="s">
        <v>263</v>
      </c>
      <c r="D211" s="16">
        <v>433</v>
      </c>
      <c r="E211" s="17" t="str">
        <f ca="1">'1ER PERIODO CONSTRUCCION DE LA '!C7</f>
        <v>CLASES</v>
      </c>
      <c r="F211" s="17" t="str">
        <f ca="1">'1ER PERIODO CONSTRUCCION DE LA '!D7</f>
        <v>ASCENDENTE</v>
      </c>
      <c r="G211" s="17" t="str">
        <f ca="1">'1ER PERIODO CONSTRUCCION DE LA '!E7</f>
        <v>BITACORA OPERATIVA</v>
      </c>
      <c r="H211" s="18">
        <f ca="1">'2ER PERIODO CONSTRUCCION DE LA '!F7</f>
        <v>10.087719298245601</v>
      </c>
      <c r="I211" s="19">
        <f ca="1">'2ER PERIODO CONSTRUCCION DE LA '!G7</f>
        <v>23</v>
      </c>
      <c r="J211" s="19">
        <f ca="1">'2ER PERIODO CONSTRUCCION DE LA '!H7</f>
        <v>23</v>
      </c>
      <c r="K211" s="19">
        <f ca="1">'2ER PERIODO CONSTRUCCION DE LA '!I7</f>
        <v>0</v>
      </c>
      <c r="L211" s="19">
        <f ca="1">'2ER PERIODO CONSTRUCCION DE LA '!J7</f>
        <v>0</v>
      </c>
      <c r="M211" s="19">
        <f ca="1">'2ER PERIODO CONSTRUCCION DE LA '!K7</f>
        <v>0</v>
      </c>
      <c r="N211" s="19">
        <f ca="1">'2ER PERIODO CONSTRUCCION DE LA '!L7</f>
        <v>0</v>
      </c>
      <c r="O211" s="19">
        <f ca="1">'2ER PERIODO CONSTRUCCION DE LA '!M7</f>
        <v>0</v>
      </c>
      <c r="P211" s="19">
        <f ca="1">'2ER PERIODO CONSTRUCCION DE LA '!N7</f>
        <v>0</v>
      </c>
      <c r="Q211" s="19">
        <f ca="1">'2ER PERIODO CONSTRUCCION DE LA '!O7</f>
        <v>0</v>
      </c>
      <c r="R211" s="19">
        <f ca="1">'2ER PERIODO CONSTRUCCION DE LA '!P7</f>
        <v>0</v>
      </c>
      <c r="S211" s="19">
        <f ca="1">'2ER PERIODO CONSTRUCCION DE LA '!Q7</f>
        <v>0</v>
      </c>
      <c r="T211" s="19">
        <f ca="1">'2ER PERIODO CONSTRUCCION DE LA '!R7</f>
        <v>0</v>
      </c>
      <c r="U211" s="21">
        <f ca="1">'2ER PERIODO CONSTRUCCION DE LA '!S7</f>
        <v>46</v>
      </c>
    </row>
    <row r="212" spans="1:21" ht="39.75" customHeight="1">
      <c r="A212" s="53"/>
      <c r="B212" s="53"/>
      <c r="C212" s="22" t="s">
        <v>264</v>
      </c>
      <c r="D212" s="16">
        <v>88</v>
      </c>
      <c r="E212" s="17" t="str">
        <f ca="1">'1ER PERIODO CONSTRUCCION DE LA '!C8</f>
        <v>CLASES</v>
      </c>
      <c r="F212" s="17" t="str">
        <f ca="1">'1ER PERIODO CONSTRUCCION DE LA '!D8</f>
        <v>ASCENDENTE</v>
      </c>
      <c r="G212" s="17" t="str">
        <f ca="1">'1ER PERIODO CONSTRUCCION DE LA '!E8</f>
        <v>BITACORA OPERATIVA</v>
      </c>
      <c r="H212" s="18">
        <f ca="1">'2ER PERIODO CONSTRUCCION DE LA '!F8</f>
        <v>25</v>
      </c>
      <c r="I212" s="19">
        <f ca="1">'2ER PERIODO CONSTRUCCION DE LA '!G8</f>
        <v>8</v>
      </c>
      <c r="J212" s="19">
        <f ca="1">'2ER PERIODO CONSTRUCCION DE LA '!H8</f>
        <v>7</v>
      </c>
      <c r="K212" s="19">
        <f ca="1">'2ER PERIODO CONSTRUCCION DE LA '!I8</f>
        <v>6</v>
      </c>
      <c r="L212" s="19">
        <f ca="1">'2ER PERIODO CONSTRUCCION DE LA '!J8</f>
        <v>0</v>
      </c>
      <c r="M212" s="19">
        <f ca="1">'2ER PERIODO CONSTRUCCION DE LA '!K8</f>
        <v>0</v>
      </c>
      <c r="N212" s="19">
        <f ca="1">'2ER PERIODO CONSTRUCCION DE LA '!L8</f>
        <v>0</v>
      </c>
      <c r="O212" s="19">
        <f ca="1">'2ER PERIODO CONSTRUCCION DE LA '!M8</f>
        <v>0</v>
      </c>
      <c r="P212" s="19">
        <f ca="1">'2ER PERIODO CONSTRUCCION DE LA '!N8</f>
        <v>0</v>
      </c>
      <c r="Q212" s="19">
        <f ca="1">'2ER PERIODO CONSTRUCCION DE LA '!O8</f>
        <v>0</v>
      </c>
      <c r="R212" s="19">
        <f ca="1">'2ER PERIODO CONSTRUCCION DE LA '!P8</f>
        <v>0</v>
      </c>
      <c r="S212" s="19">
        <f ca="1">'2ER PERIODO CONSTRUCCION DE LA '!Q8</f>
        <v>0</v>
      </c>
      <c r="T212" s="19">
        <f ca="1">'2ER PERIODO CONSTRUCCION DE LA '!R8</f>
        <v>0</v>
      </c>
      <c r="U212" s="21">
        <f ca="1">'2ER PERIODO CONSTRUCCION DE LA '!S8</f>
        <v>21</v>
      </c>
    </row>
    <row r="213" spans="1:21" ht="39.75" customHeight="1">
      <c r="A213" s="53"/>
      <c r="B213" s="53"/>
      <c r="C213" s="22" t="s">
        <v>265</v>
      </c>
      <c r="D213" s="16">
        <v>272</v>
      </c>
      <c r="E213" s="17" t="str">
        <f ca="1">'1ER PERIODO CONSTRUCCION DE LA '!C9</f>
        <v>CLASES</v>
      </c>
      <c r="F213" s="17" t="str">
        <f ca="1">'1ER PERIODO CONSTRUCCION DE LA '!D9</f>
        <v>ASCENDENTE</v>
      </c>
      <c r="G213" s="17" t="str">
        <f ca="1">'1ER PERIODO CONSTRUCCION DE LA '!E9</f>
        <v>BITACORA OPERATIVA</v>
      </c>
      <c r="H213" s="18">
        <f ca="1">'2ER PERIODO CONSTRUCCION DE LA '!F9</f>
        <v>35.8333333333333</v>
      </c>
      <c r="I213" s="19">
        <f ca="1">'2ER PERIODO CONSTRUCCION DE LA '!G9</f>
        <v>37</v>
      </c>
      <c r="J213" s="19">
        <f ca="1">'2ER PERIODO CONSTRUCCION DE LA '!H9</f>
        <v>28</v>
      </c>
      <c r="K213" s="19">
        <f ca="1">'2ER PERIODO CONSTRUCCION DE LA '!I9</f>
        <v>21</v>
      </c>
      <c r="L213" s="19">
        <f ca="1">'2ER PERIODO CONSTRUCCION DE LA '!J9</f>
        <v>0</v>
      </c>
      <c r="M213" s="19">
        <f ca="1">'2ER PERIODO CONSTRUCCION DE LA '!K9</f>
        <v>0</v>
      </c>
      <c r="N213" s="19">
        <f ca="1">'2ER PERIODO CONSTRUCCION DE LA '!L9</f>
        <v>0</v>
      </c>
      <c r="O213" s="19">
        <f ca="1">'2ER PERIODO CONSTRUCCION DE LA '!M9</f>
        <v>0</v>
      </c>
      <c r="P213" s="19">
        <f ca="1">'2ER PERIODO CONSTRUCCION DE LA '!N9</f>
        <v>0</v>
      </c>
      <c r="Q213" s="19">
        <f ca="1">'2ER PERIODO CONSTRUCCION DE LA '!O9</f>
        <v>0</v>
      </c>
      <c r="R213" s="19">
        <f ca="1">'2ER PERIODO CONSTRUCCION DE LA '!P9</f>
        <v>0</v>
      </c>
      <c r="S213" s="19">
        <f ca="1">'2ER PERIODO CONSTRUCCION DE LA '!Q9</f>
        <v>0</v>
      </c>
      <c r="T213" s="19">
        <f ca="1">'2ER PERIODO CONSTRUCCION DE LA '!R9</f>
        <v>0</v>
      </c>
      <c r="U213" s="21">
        <f ca="1">'2ER PERIODO CONSTRUCCION DE LA '!S9</f>
        <v>86</v>
      </c>
    </row>
    <row r="214" spans="1:21" ht="39.75" customHeight="1">
      <c r="A214" s="53"/>
      <c r="B214" s="53"/>
      <c r="C214" s="22" t="s">
        <v>266</v>
      </c>
      <c r="D214" s="16">
        <v>350</v>
      </c>
      <c r="E214" s="17" t="str">
        <f ca="1">'1ER PERIODO CONSTRUCCION DE LA '!C10</f>
        <v>CLASES</v>
      </c>
      <c r="F214" s="17" t="str">
        <f ca="1">'1ER PERIODO CONSTRUCCION DE LA '!D10</f>
        <v>ASCENDENTE</v>
      </c>
      <c r="G214" s="17" t="str">
        <f ca="1">'1ER PERIODO CONSTRUCCION DE LA '!E10</f>
        <v>BITACORA OPERATIVA</v>
      </c>
      <c r="H214" s="18">
        <f ca="1">'2ER PERIODO CONSTRUCCION DE LA '!F10</f>
        <v>50.925925925925903</v>
      </c>
      <c r="I214" s="19">
        <f ca="1">'2ER PERIODO CONSTRUCCION DE LA '!G10</f>
        <v>46</v>
      </c>
      <c r="J214" s="19">
        <f ca="1">'2ER PERIODO CONSTRUCCION DE LA '!H10</f>
        <v>38</v>
      </c>
      <c r="K214" s="19">
        <f ca="1">'2ER PERIODO CONSTRUCCION DE LA '!I10</f>
        <v>26</v>
      </c>
      <c r="L214" s="19">
        <f ca="1">'2ER PERIODO CONSTRUCCION DE LA '!J10</f>
        <v>0</v>
      </c>
      <c r="M214" s="19">
        <f ca="1">'2ER PERIODO CONSTRUCCION DE LA '!K10</f>
        <v>0</v>
      </c>
      <c r="N214" s="19">
        <f ca="1">'2ER PERIODO CONSTRUCCION DE LA '!L10</f>
        <v>0</v>
      </c>
      <c r="O214" s="19">
        <f ca="1">'2ER PERIODO CONSTRUCCION DE LA '!M10</f>
        <v>0</v>
      </c>
      <c r="P214" s="19">
        <f ca="1">'2ER PERIODO CONSTRUCCION DE LA '!N10</f>
        <v>0</v>
      </c>
      <c r="Q214" s="19">
        <f ca="1">'2ER PERIODO CONSTRUCCION DE LA '!O10</f>
        <v>0</v>
      </c>
      <c r="R214" s="19">
        <f ca="1">'2ER PERIODO CONSTRUCCION DE LA '!P10</f>
        <v>0</v>
      </c>
      <c r="S214" s="19">
        <f ca="1">'2ER PERIODO CONSTRUCCION DE LA '!Q10</f>
        <v>0</v>
      </c>
      <c r="T214" s="19">
        <f ca="1">'2ER PERIODO CONSTRUCCION DE LA '!R10</f>
        <v>0</v>
      </c>
      <c r="U214" s="21">
        <f ca="1">'2ER PERIODO CONSTRUCCION DE LA '!S10</f>
        <v>110</v>
      </c>
    </row>
    <row r="215" spans="1:21" ht="39.75" customHeight="1">
      <c r="A215" s="53"/>
      <c r="B215" s="53"/>
      <c r="C215" s="25" t="s">
        <v>267</v>
      </c>
      <c r="D215" s="16">
        <v>2758</v>
      </c>
      <c r="E215" s="17" t="str">
        <f ca="1">'1ER PERIODO CONSTRUCCION DE LA '!C11</f>
        <v>CLASES</v>
      </c>
      <c r="F215" s="17" t="str">
        <f ca="1">'1ER PERIODO CONSTRUCCION DE LA '!D11</f>
        <v>ASCENDENTE</v>
      </c>
      <c r="G215" s="17" t="str">
        <f ca="1">'1ER PERIODO CONSTRUCCION DE LA '!E11</f>
        <v>BITACORA OPERATIVA</v>
      </c>
      <c r="H215" s="18">
        <f ca="1">'2ER PERIODO CONSTRUCCION DE LA '!F11</f>
        <v>38.362068965517203</v>
      </c>
      <c r="I215" s="19">
        <f ca="1">'2ER PERIODO CONSTRUCCION DE LA '!G11</f>
        <v>414</v>
      </c>
      <c r="J215" s="19">
        <f ca="1">'2ER PERIODO CONSTRUCCION DE LA '!H11</f>
        <v>387</v>
      </c>
      <c r="K215" s="19">
        <f ca="1">'2ER PERIODO CONSTRUCCION DE LA '!I11</f>
        <v>0</v>
      </c>
      <c r="L215" s="19">
        <f ca="1">'2ER PERIODO CONSTRUCCION DE LA '!J11</f>
        <v>0</v>
      </c>
      <c r="M215" s="19">
        <f ca="1">'2ER PERIODO CONSTRUCCION DE LA '!K11</f>
        <v>0</v>
      </c>
      <c r="N215" s="19">
        <f ca="1">'2ER PERIODO CONSTRUCCION DE LA '!L11</f>
        <v>0</v>
      </c>
      <c r="O215" s="19">
        <f ca="1">'2ER PERIODO CONSTRUCCION DE LA '!M11</f>
        <v>0</v>
      </c>
      <c r="P215" s="19">
        <f ca="1">'2ER PERIODO CONSTRUCCION DE LA '!N11</f>
        <v>0</v>
      </c>
      <c r="Q215" s="19">
        <f ca="1">'2ER PERIODO CONSTRUCCION DE LA '!O11</f>
        <v>0</v>
      </c>
      <c r="R215" s="19">
        <f ca="1">'2ER PERIODO CONSTRUCCION DE LA '!P11</f>
        <v>0</v>
      </c>
      <c r="S215" s="19">
        <f ca="1">'2ER PERIODO CONSTRUCCION DE LA '!Q11</f>
        <v>0</v>
      </c>
      <c r="T215" s="19">
        <f ca="1">'2ER PERIODO CONSTRUCCION DE LA '!R11</f>
        <v>0</v>
      </c>
      <c r="U215" s="21">
        <f ca="1">'2ER PERIODO CONSTRUCCION DE LA '!S11</f>
        <v>801</v>
      </c>
    </row>
    <row r="216" spans="1:21" ht="39.75" customHeight="1">
      <c r="A216" s="53"/>
      <c r="B216" s="53"/>
      <c r="C216" s="22" t="s">
        <v>268</v>
      </c>
      <c r="D216" s="16">
        <v>545</v>
      </c>
      <c r="E216" s="17" t="str">
        <f ca="1">'1ER PERIODO CONSTRUCCION DE LA '!C12</f>
        <v>CLASES</v>
      </c>
      <c r="F216" s="17" t="str">
        <f ca="1">'1ER PERIODO CONSTRUCCION DE LA '!D12</f>
        <v>ASCENDENTE</v>
      </c>
      <c r="G216" s="17" t="str">
        <f ca="1">'1ER PERIODO CONSTRUCCION DE LA '!E12</f>
        <v>BITACORA OPERATIVA</v>
      </c>
      <c r="H216" s="18">
        <f ca="1">'2ER PERIODO CONSTRUCCION DE LA '!F12</f>
        <v>12.9629629629629</v>
      </c>
      <c r="I216" s="19">
        <f ca="1">'2ER PERIODO CONSTRUCCION DE LA '!G12</f>
        <v>46</v>
      </c>
      <c r="J216" s="19">
        <f ca="1">'2ER PERIODO CONSTRUCCION DE LA '!H12</f>
        <v>38</v>
      </c>
      <c r="K216" s="19">
        <f ca="1">'2ER PERIODO CONSTRUCCION DE LA '!I12</f>
        <v>28</v>
      </c>
      <c r="L216" s="19">
        <f ca="1">'2ER PERIODO CONSTRUCCION DE LA '!J12</f>
        <v>0</v>
      </c>
      <c r="M216" s="19">
        <f ca="1">'2ER PERIODO CONSTRUCCION DE LA '!K12</f>
        <v>0</v>
      </c>
      <c r="N216" s="19">
        <f ca="1">'2ER PERIODO CONSTRUCCION DE LA '!L12</f>
        <v>0</v>
      </c>
      <c r="O216" s="19">
        <f ca="1">'2ER PERIODO CONSTRUCCION DE LA '!M12</f>
        <v>0</v>
      </c>
      <c r="P216" s="19">
        <f ca="1">'2ER PERIODO CONSTRUCCION DE LA '!N12</f>
        <v>0</v>
      </c>
      <c r="Q216" s="19">
        <f ca="1">'2ER PERIODO CONSTRUCCION DE LA '!O12</f>
        <v>0</v>
      </c>
      <c r="R216" s="19">
        <f ca="1">'2ER PERIODO CONSTRUCCION DE LA '!P12</f>
        <v>0</v>
      </c>
      <c r="S216" s="19">
        <f ca="1">'2ER PERIODO CONSTRUCCION DE LA '!Q12</f>
        <v>0</v>
      </c>
      <c r="T216" s="19">
        <f ca="1">'2ER PERIODO CONSTRUCCION DE LA '!R12</f>
        <v>0</v>
      </c>
      <c r="U216" s="21">
        <f ca="1">'2ER PERIODO CONSTRUCCION DE LA '!S12</f>
        <v>112</v>
      </c>
    </row>
    <row r="217" spans="1:21" ht="39.75" customHeight="1">
      <c r="A217" s="53"/>
      <c r="B217" s="53"/>
      <c r="C217" s="26" t="s">
        <v>270</v>
      </c>
      <c r="D217" s="16">
        <v>14027</v>
      </c>
      <c r="E217" s="17" t="str">
        <f ca="1">'1ER PERIODO CONSTRUCCION DE LA '!C13</f>
        <v>CLASES</v>
      </c>
      <c r="F217" s="17" t="str">
        <f ca="1">'1ER PERIODO CONSTRUCCION DE LA '!D13</f>
        <v>ASCENDENTE</v>
      </c>
      <c r="G217" s="17" t="str">
        <f ca="1">'1ER PERIODO CONSTRUCCION DE LA '!E13</f>
        <v>BITACORA OPERATIVA</v>
      </c>
      <c r="H217" s="18">
        <f ca="1">'2ER PERIODO CONSTRUCCION DE LA '!F13</f>
        <v>4462.5</v>
      </c>
      <c r="I217" s="19">
        <f ca="1">'2ER PERIODO CONSTRUCCION DE LA '!G13</f>
        <v>1346</v>
      </c>
      <c r="J217" s="19">
        <f ca="1">'2ER PERIODO CONSTRUCCION DE LA '!H13</f>
        <v>0</v>
      </c>
      <c r="K217" s="19">
        <f ca="1">'2ER PERIODO CONSTRUCCION DE LA '!I13</f>
        <v>796</v>
      </c>
      <c r="L217" s="19">
        <f ca="1">'2ER PERIODO CONSTRUCCION DE LA '!J13</f>
        <v>0</v>
      </c>
      <c r="M217" s="19">
        <f ca="1">'2ER PERIODO CONSTRUCCION DE LA '!K13</f>
        <v>0</v>
      </c>
      <c r="N217" s="19">
        <f ca="1">'2ER PERIODO CONSTRUCCION DE LA '!L13</f>
        <v>0</v>
      </c>
      <c r="O217" s="19">
        <f ca="1">'2ER PERIODO CONSTRUCCION DE LA '!M13</f>
        <v>0</v>
      </c>
      <c r="P217" s="19">
        <f ca="1">'2ER PERIODO CONSTRUCCION DE LA '!N13</f>
        <v>0</v>
      </c>
      <c r="Q217" s="19">
        <f ca="1">'2ER PERIODO CONSTRUCCION DE LA '!O13</f>
        <v>0</v>
      </c>
      <c r="R217" s="19">
        <f ca="1">'2ER PERIODO CONSTRUCCION DE LA '!P13</f>
        <v>0</v>
      </c>
      <c r="S217" s="19">
        <f ca="1">'2ER PERIODO CONSTRUCCION DE LA '!Q13</f>
        <v>0</v>
      </c>
      <c r="T217" s="19">
        <f ca="1">'2ER PERIODO CONSTRUCCION DE LA '!R13</f>
        <v>0</v>
      </c>
      <c r="U217" s="21">
        <f ca="1">'2ER PERIODO CONSTRUCCION DE LA '!S13</f>
        <v>2142</v>
      </c>
    </row>
    <row r="218" spans="1:21" ht="39.75" customHeight="1">
      <c r="A218" s="53"/>
      <c r="B218" s="51"/>
      <c r="C218" s="26" t="s">
        <v>260</v>
      </c>
      <c r="D218" s="16">
        <v>19</v>
      </c>
      <c r="E218" s="17" t="str">
        <f ca="1">'1ER PERIODO CONSTRUCCION DE LA '!C14</f>
        <v>PERSONAS</v>
      </c>
      <c r="F218" s="17" t="str">
        <f ca="1">'1ER PERIODO CONSTRUCCION DE LA '!D14</f>
        <v>ASCENDENTE</v>
      </c>
      <c r="G218" s="17" t="str">
        <f ca="1">'1ER PERIODO CONSTRUCCION DE LA '!E14</f>
        <v>BITACORA OPERATIVA</v>
      </c>
      <c r="H218" s="18">
        <f ca="1">'2ER PERIODO CONSTRUCCION DE LA '!F14</f>
        <v>0</v>
      </c>
      <c r="I218" s="19">
        <f ca="1">'2ER PERIODO CONSTRUCCION DE LA '!G14</f>
        <v>0</v>
      </c>
      <c r="J218" s="19">
        <f ca="1">'2ER PERIODO CONSTRUCCION DE LA '!H14</f>
        <v>0</v>
      </c>
      <c r="K218" s="19">
        <f ca="1">'2ER PERIODO CONSTRUCCION DE LA '!I14</f>
        <v>0</v>
      </c>
      <c r="L218" s="19">
        <f ca="1">'2ER PERIODO CONSTRUCCION DE LA '!J14</f>
        <v>0</v>
      </c>
      <c r="M218" s="19">
        <f ca="1">'2ER PERIODO CONSTRUCCION DE LA '!K14</f>
        <v>0</v>
      </c>
      <c r="N218" s="19">
        <f ca="1">'2ER PERIODO CONSTRUCCION DE LA '!L14</f>
        <v>0</v>
      </c>
      <c r="O218" s="19">
        <f ca="1">'2ER PERIODO CONSTRUCCION DE LA '!M14</f>
        <v>0</v>
      </c>
      <c r="P218" s="19">
        <f ca="1">'2ER PERIODO CONSTRUCCION DE LA '!N14</f>
        <v>0</v>
      </c>
      <c r="Q218" s="19">
        <f ca="1">'2ER PERIODO CONSTRUCCION DE LA '!O14</f>
        <v>0</v>
      </c>
      <c r="R218" s="19">
        <f ca="1">'2ER PERIODO CONSTRUCCION DE LA '!P14</f>
        <v>0</v>
      </c>
      <c r="S218" s="19">
        <f ca="1">'2ER PERIODO CONSTRUCCION DE LA '!Q14</f>
        <v>0</v>
      </c>
      <c r="T218" s="19">
        <f ca="1">'2ER PERIODO CONSTRUCCION DE LA '!R14</f>
        <v>0</v>
      </c>
      <c r="U218" s="21">
        <f ca="1">'2ER PERIODO CONSTRUCCION DE LA '!S14</f>
        <v>0</v>
      </c>
    </row>
    <row r="219" spans="1:21" ht="39.75" customHeight="1">
      <c r="A219" s="53"/>
      <c r="B219" s="50" t="s">
        <v>271</v>
      </c>
      <c r="C219" s="22" t="s">
        <v>37</v>
      </c>
      <c r="D219" s="16">
        <v>3150</v>
      </c>
      <c r="E219" s="17" t="str">
        <f ca="1">'1ER PERIODO CONSTRUCCION DE LA '!C15</f>
        <v>PROGRAMAS</v>
      </c>
      <c r="F219" s="17" t="str">
        <f ca="1">'1ER PERIODO CONSTRUCCION DE LA '!D15</f>
        <v>ASCENDENTE</v>
      </c>
      <c r="G219" s="17" t="str">
        <f ca="1">'1ER PERIODO CONSTRUCCION DE LA '!E15</f>
        <v>BITACORA OPERATIVA</v>
      </c>
      <c r="H219" s="18">
        <f ca="1">'2ER PERIODO CONSTRUCCION DE LA '!F15</f>
        <v>0</v>
      </c>
      <c r="I219" s="19">
        <f ca="1">'2ER PERIODO CONSTRUCCION DE LA '!G15</f>
        <v>0</v>
      </c>
      <c r="J219" s="19">
        <f ca="1">'2ER PERIODO CONSTRUCCION DE LA '!H15</f>
        <v>0</v>
      </c>
      <c r="K219" s="19">
        <f ca="1">'2ER PERIODO CONSTRUCCION DE LA '!I15</f>
        <v>0</v>
      </c>
      <c r="L219" s="19">
        <f ca="1">'2ER PERIODO CONSTRUCCION DE LA '!J15</f>
        <v>0</v>
      </c>
      <c r="M219" s="19">
        <f ca="1">'2ER PERIODO CONSTRUCCION DE LA '!K15</f>
        <v>0</v>
      </c>
      <c r="N219" s="19">
        <f ca="1">'2ER PERIODO CONSTRUCCION DE LA '!L15</f>
        <v>0</v>
      </c>
      <c r="O219" s="19">
        <f ca="1">'2ER PERIODO CONSTRUCCION DE LA '!M15</f>
        <v>0</v>
      </c>
      <c r="P219" s="19">
        <f ca="1">'2ER PERIODO CONSTRUCCION DE LA '!N15</f>
        <v>0</v>
      </c>
      <c r="Q219" s="19">
        <f ca="1">'2ER PERIODO CONSTRUCCION DE LA '!O15</f>
        <v>0</v>
      </c>
      <c r="R219" s="19">
        <f ca="1">'2ER PERIODO CONSTRUCCION DE LA '!P15</f>
        <v>0</v>
      </c>
      <c r="S219" s="19">
        <f ca="1">'2ER PERIODO CONSTRUCCION DE LA '!Q15</f>
        <v>0</v>
      </c>
      <c r="T219" s="19">
        <f ca="1">'2ER PERIODO CONSTRUCCION DE LA '!R15</f>
        <v>0</v>
      </c>
      <c r="U219" s="21">
        <f ca="1">'2ER PERIODO CONSTRUCCION DE LA '!S15</f>
        <v>0</v>
      </c>
    </row>
    <row r="220" spans="1:21" ht="39.75" customHeight="1">
      <c r="A220" s="53"/>
      <c r="B220" s="51"/>
      <c r="C220" s="22" t="s">
        <v>38</v>
      </c>
      <c r="D220" s="16">
        <v>21</v>
      </c>
      <c r="E220" s="17" t="str">
        <f ca="1">'1ER PERIODO CONSTRUCCION DE LA '!C16</f>
        <v>PERSONAS</v>
      </c>
      <c r="F220" s="17" t="str">
        <f ca="1">'1ER PERIODO CONSTRUCCION DE LA '!D16</f>
        <v>ASCENDENTE</v>
      </c>
      <c r="G220" s="17" t="str">
        <f ca="1">'1ER PERIODO CONSTRUCCION DE LA '!E16</f>
        <v>BITACORA OPERATIVA</v>
      </c>
      <c r="H220" s="18">
        <f ca="1">'2ER PERIODO CONSTRUCCION DE LA '!F16</f>
        <v>5.8823529411764698E-2</v>
      </c>
      <c r="I220" s="19">
        <f ca="1">'2ER PERIODO CONSTRUCCION DE LA '!G16</f>
        <v>1</v>
      </c>
      <c r="J220" s="19">
        <f ca="1">'2ER PERIODO CONSTRUCCION DE LA '!H16</f>
        <v>0</v>
      </c>
      <c r="K220" s="19">
        <f ca="1">'2ER PERIODO CONSTRUCCION DE LA '!I16</f>
        <v>1</v>
      </c>
      <c r="L220" s="19">
        <f ca="1">'2ER PERIODO CONSTRUCCION DE LA '!J16</f>
        <v>0</v>
      </c>
      <c r="M220" s="19">
        <f ca="1">'2ER PERIODO CONSTRUCCION DE LA '!K16</f>
        <v>0</v>
      </c>
      <c r="N220" s="19">
        <f ca="1">'2ER PERIODO CONSTRUCCION DE LA '!L16</f>
        <v>0</v>
      </c>
      <c r="O220" s="19">
        <f ca="1">'2ER PERIODO CONSTRUCCION DE LA '!M16</f>
        <v>0</v>
      </c>
      <c r="P220" s="19">
        <f ca="1">'2ER PERIODO CONSTRUCCION DE LA '!N16</f>
        <v>0</v>
      </c>
      <c r="Q220" s="19">
        <f ca="1">'2ER PERIODO CONSTRUCCION DE LA '!O16</f>
        <v>0</v>
      </c>
      <c r="R220" s="19">
        <f ca="1">'2ER PERIODO CONSTRUCCION DE LA '!P16</f>
        <v>0</v>
      </c>
      <c r="S220" s="19">
        <f ca="1">'2ER PERIODO CONSTRUCCION DE LA '!Q16</f>
        <v>0</v>
      </c>
      <c r="T220" s="19">
        <f ca="1">'2ER PERIODO CONSTRUCCION DE LA '!R16</f>
        <v>0</v>
      </c>
      <c r="U220" s="21">
        <f ca="1">'2ER PERIODO CONSTRUCCION DE LA '!S16</f>
        <v>2</v>
      </c>
    </row>
    <row r="221" spans="1:21" ht="39.75" customHeight="1">
      <c r="A221" s="53"/>
      <c r="B221" s="50" t="s">
        <v>272</v>
      </c>
      <c r="C221" s="22" t="s">
        <v>37</v>
      </c>
      <c r="D221" s="16">
        <v>20</v>
      </c>
      <c r="E221" s="17" t="str">
        <f ca="1">'1ER PERIODO CONSTRUCCION DE LA '!C17</f>
        <v>PROGRAMAS</v>
      </c>
      <c r="F221" s="17" t="str">
        <f ca="1">'1ER PERIODO CONSTRUCCION DE LA '!D17</f>
        <v>ASCENDENTE</v>
      </c>
      <c r="G221" s="17" t="str">
        <f ca="1">'1ER PERIODO CONSTRUCCION DE LA '!E17</f>
        <v>BITACORA OPERATIVA</v>
      </c>
      <c r="H221" s="18">
        <f ca="1">'2ER PERIODO CONSTRUCCION DE LA '!F17</f>
        <v>3.125</v>
      </c>
      <c r="I221" s="19">
        <f ca="1">'2ER PERIODO CONSTRUCCION DE LA '!G17</f>
        <v>1</v>
      </c>
      <c r="J221" s="19">
        <f ca="1">'2ER PERIODO CONSTRUCCION DE LA '!H17</f>
        <v>0</v>
      </c>
      <c r="K221" s="19">
        <f ca="1">'2ER PERIODO CONSTRUCCION DE LA '!I17</f>
        <v>0</v>
      </c>
      <c r="L221" s="19">
        <f ca="1">'2ER PERIODO CONSTRUCCION DE LA '!J17</f>
        <v>0</v>
      </c>
      <c r="M221" s="19">
        <f ca="1">'2ER PERIODO CONSTRUCCION DE LA '!K17</f>
        <v>0</v>
      </c>
      <c r="N221" s="19">
        <f ca="1">'2ER PERIODO CONSTRUCCION DE LA '!L17</f>
        <v>0</v>
      </c>
      <c r="O221" s="19">
        <f ca="1">'2ER PERIODO CONSTRUCCION DE LA '!M17</f>
        <v>0</v>
      </c>
      <c r="P221" s="19">
        <f ca="1">'2ER PERIODO CONSTRUCCION DE LA '!N17</f>
        <v>0</v>
      </c>
      <c r="Q221" s="19">
        <f ca="1">'2ER PERIODO CONSTRUCCION DE LA '!O17</f>
        <v>0</v>
      </c>
      <c r="R221" s="19">
        <f ca="1">'2ER PERIODO CONSTRUCCION DE LA '!P17</f>
        <v>0</v>
      </c>
      <c r="S221" s="19">
        <f ca="1">'2ER PERIODO CONSTRUCCION DE LA '!Q17</f>
        <v>0</v>
      </c>
      <c r="T221" s="19">
        <f ca="1">'2ER PERIODO CONSTRUCCION DE LA '!R17</f>
        <v>0</v>
      </c>
      <c r="U221" s="21">
        <f ca="1">'2ER PERIODO CONSTRUCCION DE LA '!S17</f>
        <v>1</v>
      </c>
    </row>
    <row r="222" spans="1:21" ht="39.75" customHeight="1">
      <c r="A222" s="53"/>
      <c r="B222" s="51"/>
      <c r="C222" s="22" t="s">
        <v>273</v>
      </c>
      <c r="D222" s="16">
        <v>3844</v>
      </c>
      <c r="E222" s="17" t="str">
        <f ca="1">'1ER PERIODO CONSTRUCCION DE LA '!C18</f>
        <v>ESCUELAS</v>
      </c>
      <c r="F222" s="17" t="str">
        <f ca="1">'1ER PERIODO CONSTRUCCION DE LA '!D18</f>
        <v>ASCENDENTE</v>
      </c>
      <c r="G222" s="17" t="str">
        <f ca="1">'1ER PERIODO CONSTRUCCION DE LA '!E18</f>
        <v>BITACORA OPERATIVA</v>
      </c>
      <c r="H222" s="18">
        <f ca="1">'2ER PERIODO CONSTRUCCION DE LA '!F18</f>
        <v>239.13043478260801</v>
      </c>
      <c r="I222" s="19">
        <f ca="1">'2ER PERIODO CONSTRUCCION DE LA '!G18</f>
        <v>220</v>
      </c>
      <c r="J222" s="19">
        <f ca="1">'2ER PERIODO CONSTRUCCION DE LA '!H18</f>
        <v>0</v>
      </c>
      <c r="K222" s="19">
        <f ca="1">'2ER PERIODO CONSTRUCCION DE LA '!I18</f>
        <v>0</v>
      </c>
      <c r="L222" s="19">
        <f ca="1">'2ER PERIODO CONSTRUCCION DE LA '!J18</f>
        <v>0</v>
      </c>
      <c r="M222" s="19">
        <f ca="1">'2ER PERIODO CONSTRUCCION DE LA '!K18</f>
        <v>0</v>
      </c>
      <c r="N222" s="19">
        <f ca="1">'2ER PERIODO CONSTRUCCION DE LA '!L18</f>
        <v>0</v>
      </c>
      <c r="O222" s="19">
        <f ca="1">'2ER PERIODO CONSTRUCCION DE LA '!M18</f>
        <v>0</v>
      </c>
      <c r="P222" s="19">
        <f ca="1">'2ER PERIODO CONSTRUCCION DE LA '!N18</f>
        <v>0</v>
      </c>
      <c r="Q222" s="19">
        <f ca="1">'2ER PERIODO CONSTRUCCION DE LA '!O18</f>
        <v>0</v>
      </c>
      <c r="R222" s="19">
        <f ca="1">'2ER PERIODO CONSTRUCCION DE LA '!P18</f>
        <v>0</v>
      </c>
      <c r="S222" s="19">
        <f ca="1">'2ER PERIODO CONSTRUCCION DE LA '!Q18</f>
        <v>0</v>
      </c>
      <c r="T222" s="19">
        <f ca="1">'2ER PERIODO CONSTRUCCION DE LA '!R18</f>
        <v>0</v>
      </c>
      <c r="U222" s="21">
        <f ca="1">'2ER PERIODO CONSTRUCCION DE LA '!S18</f>
        <v>220</v>
      </c>
    </row>
    <row r="223" spans="1:21" ht="39.75" customHeight="1">
      <c r="A223" s="53"/>
      <c r="B223" s="50" t="s">
        <v>274</v>
      </c>
      <c r="C223" s="22" t="s">
        <v>38</v>
      </c>
      <c r="D223" s="16">
        <v>14</v>
      </c>
      <c r="E223" s="17" t="str">
        <f ca="1">'1ER PERIODO CONSTRUCCION DE LA '!C19</f>
        <v>PERSONAS</v>
      </c>
      <c r="F223" s="17" t="str">
        <f ca="1">'1ER PERIODO CONSTRUCCION DE LA '!D19</f>
        <v>ASCENDENTE</v>
      </c>
      <c r="G223" s="17" t="str">
        <f ca="1">'1ER PERIODO CONSTRUCCION DE LA '!E19</f>
        <v>BITACORA OPERATIVA</v>
      </c>
      <c r="H223" s="18">
        <f ca="1">'2ER PERIODO CONSTRUCCION DE LA '!F19</f>
        <v>10.4166666666666</v>
      </c>
      <c r="I223" s="19">
        <f ca="1">'2ER PERIODO CONSTRUCCION DE LA '!G19</f>
        <v>1</v>
      </c>
      <c r="J223" s="19">
        <f ca="1">'2ER PERIODO CONSTRUCCION DE LA '!H19</f>
        <v>1</v>
      </c>
      <c r="K223" s="19">
        <f ca="1">'2ER PERIODO CONSTRUCCION DE LA '!I19</f>
        <v>3</v>
      </c>
      <c r="L223" s="19">
        <f ca="1">'2ER PERIODO CONSTRUCCION DE LA '!J19</f>
        <v>0</v>
      </c>
      <c r="M223" s="19">
        <f ca="1">'2ER PERIODO CONSTRUCCION DE LA '!K19</f>
        <v>0</v>
      </c>
      <c r="N223" s="19">
        <f ca="1">'2ER PERIODO CONSTRUCCION DE LA '!L19</f>
        <v>0</v>
      </c>
      <c r="O223" s="19">
        <f ca="1">'2ER PERIODO CONSTRUCCION DE LA '!M19</f>
        <v>0</v>
      </c>
      <c r="P223" s="19">
        <f ca="1">'2ER PERIODO CONSTRUCCION DE LA '!N19</f>
        <v>0</v>
      </c>
      <c r="Q223" s="19">
        <f ca="1">'2ER PERIODO CONSTRUCCION DE LA '!O19</f>
        <v>0</v>
      </c>
      <c r="R223" s="19">
        <f ca="1">'2ER PERIODO CONSTRUCCION DE LA '!P19</f>
        <v>0</v>
      </c>
      <c r="S223" s="19">
        <f ca="1">'2ER PERIODO CONSTRUCCION DE LA '!Q19</f>
        <v>0</v>
      </c>
      <c r="T223" s="19">
        <f ca="1">'2ER PERIODO CONSTRUCCION DE LA '!R19</f>
        <v>0</v>
      </c>
      <c r="U223" s="21">
        <f ca="1">'2ER PERIODO CONSTRUCCION DE LA '!S19</f>
        <v>5</v>
      </c>
    </row>
    <row r="224" spans="1:21" ht="39.75" customHeight="1">
      <c r="A224" s="53"/>
      <c r="B224" s="51"/>
      <c r="C224" s="22" t="s">
        <v>37</v>
      </c>
      <c r="D224" s="16">
        <v>3844</v>
      </c>
      <c r="E224" s="17" t="str">
        <f ca="1">'1ER PERIODO CONSTRUCCION DE LA '!C20</f>
        <v>PROGRAMAS</v>
      </c>
      <c r="F224" s="17" t="str">
        <f ca="1">'1ER PERIODO CONSTRUCCION DE LA '!D20</f>
        <v>ASCENDENTE</v>
      </c>
      <c r="G224" s="17" t="str">
        <f ca="1">'1ER PERIODO CONSTRUCCION DE LA '!E20</f>
        <v>BITACORA OPERATIVA</v>
      </c>
      <c r="H224" s="18">
        <f ca="1">'2ER PERIODO CONSTRUCCION DE LA '!F20</f>
        <v>7.5653370013755099</v>
      </c>
      <c r="I224" s="19">
        <f ca="1">'2ER PERIODO CONSTRUCCION DE LA '!G20</f>
        <v>220</v>
      </c>
      <c r="J224" s="19">
        <f ca="1">'2ER PERIODO CONSTRUCCION DE LA '!H20</f>
        <v>0</v>
      </c>
      <c r="K224" s="19">
        <f ca="1">'2ER PERIODO CONSTRUCCION DE LA '!I20</f>
        <v>0</v>
      </c>
      <c r="L224" s="19">
        <f ca="1">'2ER PERIODO CONSTRUCCION DE LA '!J20</f>
        <v>0</v>
      </c>
      <c r="M224" s="19">
        <f ca="1">'2ER PERIODO CONSTRUCCION DE LA '!K20</f>
        <v>0</v>
      </c>
      <c r="N224" s="19">
        <f ca="1">'2ER PERIODO CONSTRUCCION DE LA '!L20</f>
        <v>0</v>
      </c>
      <c r="O224" s="19">
        <f ca="1">'2ER PERIODO CONSTRUCCION DE LA '!M20</f>
        <v>0</v>
      </c>
      <c r="P224" s="19">
        <f ca="1">'2ER PERIODO CONSTRUCCION DE LA '!N20</f>
        <v>0</v>
      </c>
      <c r="Q224" s="19">
        <f ca="1">'2ER PERIODO CONSTRUCCION DE LA '!O20</f>
        <v>0</v>
      </c>
      <c r="R224" s="19">
        <f ca="1">'2ER PERIODO CONSTRUCCION DE LA '!P20</f>
        <v>0</v>
      </c>
      <c r="S224" s="19">
        <f ca="1">'2ER PERIODO CONSTRUCCION DE LA '!Q20</f>
        <v>0</v>
      </c>
      <c r="T224" s="19">
        <f ca="1">'2ER PERIODO CONSTRUCCION DE LA '!R20</f>
        <v>0</v>
      </c>
      <c r="U224" s="21">
        <f ca="1">'2ER PERIODO CONSTRUCCION DE LA '!S20</f>
        <v>220</v>
      </c>
    </row>
    <row r="225" spans="1:21" ht="39.75" customHeight="1">
      <c r="A225" s="53"/>
      <c r="B225" s="50" t="s">
        <v>275</v>
      </c>
      <c r="C225" s="22" t="s">
        <v>37</v>
      </c>
      <c r="D225" s="16">
        <v>14</v>
      </c>
      <c r="E225" s="17" t="str">
        <f ca="1">'1ER PERIODO CONSTRUCCION DE LA '!C21</f>
        <v>PROGRAMAS</v>
      </c>
      <c r="F225" s="17" t="str">
        <f ca="1">'1ER PERIODO CONSTRUCCION DE LA '!D21</f>
        <v>ASCENDENTE</v>
      </c>
      <c r="G225" s="17" t="str">
        <f ca="1">'1ER PERIODO CONSTRUCCION DE LA '!E21</f>
        <v>BITACORA OPERATIVA</v>
      </c>
      <c r="H225" s="18">
        <f ca="1">'2ER PERIODO CONSTRUCCION DE LA '!F21</f>
        <v>500</v>
      </c>
      <c r="I225" s="19">
        <f ca="1">'2ER PERIODO CONSTRUCCION DE LA '!G21</f>
        <v>1</v>
      </c>
      <c r="J225" s="19">
        <f ca="1">'2ER PERIODO CONSTRUCCION DE LA '!H21</f>
        <v>1</v>
      </c>
      <c r="K225" s="19">
        <f ca="1">'2ER PERIODO CONSTRUCCION DE LA '!I21</f>
        <v>3</v>
      </c>
      <c r="L225" s="19">
        <f ca="1">'2ER PERIODO CONSTRUCCION DE LA '!J21</f>
        <v>0</v>
      </c>
      <c r="M225" s="19">
        <f ca="1">'2ER PERIODO CONSTRUCCION DE LA '!K21</f>
        <v>0</v>
      </c>
      <c r="N225" s="19">
        <f ca="1">'2ER PERIODO CONSTRUCCION DE LA '!L21</f>
        <v>0</v>
      </c>
      <c r="O225" s="19">
        <f ca="1">'2ER PERIODO CONSTRUCCION DE LA '!M21</f>
        <v>0</v>
      </c>
      <c r="P225" s="19">
        <f ca="1">'2ER PERIODO CONSTRUCCION DE LA '!N21</f>
        <v>0</v>
      </c>
      <c r="Q225" s="19">
        <f ca="1">'2ER PERIODO CONSTRUCCION DE LA '!O21</f>
        <v>0</v>
      </c>
      <c r="R225" s="19">
        <f ca="1">'2ER PERIODO CONSTRUCCION DE LA '!P21</f>
        <v>0</v>
      </c>
      <c r="S225" s="19">
        <f ca="1">'2ER PERIODO CONSTRUCCION DE LA '!Q21</f>
        <v>0</v>
      </c>
      <c r="T225" s="19">
        <f ca="1">'2ER PERIODO CONSTRUCCION DE LA '!R21</f>
        <v>0</v>
      </c>
      <c r="U225" s="21">
        <f ca="1">'2ER PERIODO CONSTRUCCION DE LA '!S21</f>
        <v>5</v>
      </c>
    </row>
    <row r="226" spans="1:21" ht="39.75" customHeight="1">
      <c r="A226" s="53"/>
      <c r="B226" s="51"/>
      <c r="C226" s="22" t="s">
        <v>38</v>
      </c>
      <c r="D226" s="16">
        <v>990</v>
      </c>
      <c r="E226" s="17" t="str">
        <f ca="1">'1ER PERIODO CONSTRUCCION DE LA '!C22</f>
        <v>PERSONAS</v>
      </c>
      <c r="F226" s="17" t="str">
        <f ca="1">'1ER PERIODO CONSTRUCCION DE LA '!D22</f>
        <v>ASCENDENTE</v>
      </c>
      <c r="G226" s="17" t="str">
        <f ca="1">'1ER PERIODO CONSTRUCCION DE LA '!E22</f>
        <v>BITACORA OPERATIVA</v>
      </c>
      <c r="H226" s="18">
        <f ca="1">'2ER PERIODO CONSTRUCCION DE LA '!F22</f>
        <v>91000</v>
      </c>
      <c r="I226" s="19">
        <f ca="1">'2ER PERIODO CONSTRUCCION DE LA '!G22</f>
        <v>29</v>
      </c>
      <c r="J226" s="19">
        <f ca="1">'2ER PERIODO CONSTRUCCION DE LA '!H22</f>
        <v>329</v>
      </c>
      <c r="K226" s="19">
        <f ca="1">'2ER PERIODO CONSTRUCCION DE LA '!I22</f>
        <v>552</v>
      </c>
      <c r="L226" s="19">
        <f ca="1">'2ER PERIODO CONSTRUCCION DE LA '!J22</f>
        <v>0</v>
      </c>
      <c r="M226" s="19">
        <f ca="1">'2ER PERIODO CONSTRUCCION DE LA '!K22</f>
        <v>0</v>
      </c>
      <c r="N226" s="19">
        <f ca="1">'2ER PERIODO CONSTRUCCION DE LA '!L22</f>
        <v>0</v>
      </c>
      <c r="O226" s="19">
        <f ca="1">'2ER PERIODO CONSTRUCCION DE LA '!M22</f>
        <v>0</v>
      </c>
      <c r="P226" s="19">
        <f ca="1">'2ER PERIODO CONSTRUCCION DE LA '!N22</f>
        <v>0</v>
      </c>
      <c r="Q226" s="19">
        <f ca="1">'2ER PERIODO CONSTRUCCION DE LA '!O22</f>
        <v>0</v>
      </c>
      <c r="R226" s="19">
        <f ca="1">'2ER PERIODO CONSTRUCCION DE LA '!P22</f>
        <v>0</v>
      </c>
      <c r="S226" s="19">
        <f ca="1">'2ER PERIODO CONSTRUCCION DE LA '!Q22</f>
        <v>0</v>
      </c>
      <c r="T226" s="19">
        <f ca="1">'2ER PERIODO CONSTRUCCION DE LA '!R22</f>
        <v>0</v>
      </c>
      <c r="U226" s="21">
        <f ca="1">'2ER PERIODO CONSTRUCCION DE LA '!S22</f>
        <v>910</v>
      </c>
    </row>
    <row r="227" spans="1:21" ht="39.75" customHeight="1">
      <c r="A227" s="53"/>
      <c r="B227" s="50" t="s">
        <v>276</v>
      </c>
      <c r="C227" s="22" t="s">
        <v>260</v>
      </c>
      <c r="D227" s="16">
        <v>28</v>
      </c>
      <c r="E227" s="17" t="str">
        <f ca="1">'1ER PERIODO CONSTRUCCION DE LA '!C23</f>
        <v>EVENTOS</v>
      </c>
      <c r="F227" s="17" t="str">
        <f ca="1">'1ER PERIODO CONSTRUCCION DE LA '!D23</f>
        <v>ASCENDENTE</v>
      </c>
      <c r="G227" s="17" t="str">
        <f ca="1">'1ER PERIODO CONSTRUCCION DE LA '!E23</f>
        <v>BITACORA OPERATIVA</v>
      </c>
      <c r="H227" s="18">
        <f ca="1">'2ER PERIODO CONSTRUCCION DE LA '!F23</f>
        <v>10.714285714285699</v>
      </c>
      <c r="I227" s="19">
        <f ca="1">'2ER PERIODO CONSTRUCCION DE LA '!G23</f>
        <v>1</v>
      </c>
      <c r="J227" s="19">
        <f ca="1">'2ER PERIODO CONSTRUCCION DE LA '!H23</f>
        <v>2</v>
      </c>
      <c r="K227" s="19">
        <f ca="1">'2ER PERIODO CONSTRUCCION DE LA '!I23</f>
        <v>0</v>
      </c>
      <c r="L227" s="19">
        <f ca="1">'2ER PERIODO CONSTRUCCION DE LA '!J23</f>
        <v>0</v>
      </c>
      <c r="M227" s="19">
        <f ca="1">'2ER PERIODO CONSTRUCCION DE LA '!K23</f>
        <v>0</v>
      </c>
      <c r="N227" s="19">
        <f ca="1">'2ER PERIODO CONSTRUCCION DE LA '!L23</f>
        <v>0</v>
      </c>
      <c r="O227" s="19">
        <f ca="1">'2ER PERIODO CONSTRUCCION DE LA '!M23</f>
        <v>0</v>
      </c>
      <c r="P227" s="19">
        <f ca="1">'2ER PERIODO CONSTRUCCION DE LA '!N23</f>
        <v>0</v>
      </c>
      <c r="Q227" s="19">
        <f ca="1">'2ER PERIODO CONSTRUCCION DE LA '!O23</f>
        <v>0</v>
      </c>
      <c r="R227" s="19">
        <f ca="1">'2ER PERIODO CONSTRUCCION DE LA '!P23</f>
        <v>0</v>
      </c>
      <c r="S227" s="19">
        <f ca="1">'2ER PERIODO CONSTRUCCION DE LA '!Q23</f>
        <v>0</v>
      </c>
      <c r="T227" s="19">
        <f ca="1">'2ER PERIODO CONSTRUCCION DE LA '!R23</f>
        <v>0</v>
      </c>
      <c r="U227" s="21">
        <f ca="1">'2ER PERIODO CONSTRUCCION DE LA '!S23</f>
        <v>3</v>
      </c>
    </row>
    <row r="228" spans="1:21" ht="39.75" customHeight="1">
      <c r="A228" s="53"/>
      <c r="B228" s="51"/>
      <c r="C228" s="22" t="s">
        <v>38</v>
      </c>
      <c r="D228" s="16">
        <v>2770</v>
      </c>
      <c r="E228" s="17" t="str">
        <f ca="1">'1ER PERIODO CONSTRUCCION DE LA '!C24</f>
        <v>PERSONAS</v>
      </c>
      <c r="F228" s="17" t="str">
        <f ca="1">'1ER PERIODO CONSTRUCCION DE LA '!D24</f>
        <v>ASCENDENTE</v>
      </c>
      <c r="G228" s="17" t="str">
        <f ca="1">'1ER PERIODO CONSTRUCCION DE LA '!E24</f>
        <v>BITACORA OPERATIVA</v>
      </c>
      <c r="H228" s="18">
        <f ca="1">'2ER PERIODO CONSTRUCCION DE LA '!F24</f>
        <v>54.3316831683168</v>
      </c>
      <c r="I228" s="19">
        <f ca="1">'2ER PERIODO CONSTRUCCION DE LA '!G24</f>
        <v>15</v>
      </c>
      <c r="J228" s="19">
        <f ca="1">'2ER PERIODO CONSTRUCCION DE LA '!H24</f>
        <v>1550</v>
      </c>
      <c r="K228" s="19">
        <f ca="1">'2ER PERIODO CONSTRUCCION DE LA '!I24</f>
        <v>630</v>
      </c>
      <c r="L228" s="19">
        <f ca="1">'2ER PERIODO CONSTRUCCION DE LA '!J24</f>
        <v>0</v>
      </c>
      <c r="M228" s="19">
        <f ca="1">'2ER PERIODO CONSTRUCCION DE LA '!K24</f>
        <v>0</v>
      </c>
      <c r="N228" s="19">
        <f ca="1">'2ER PERIODO CONSTRUCCION DE LA '!L24</f>
        <v>0</v>
      </c>
      <c r="O228" s="19">
        <f ca="1">'2ER PERIODO CONSTRUCCION DE LA '!M24</f>
        <v>0</v>
      </c>
      <c r="P228" s="19">
        <f ca="1">'2ER PERIODO CONSTRUCCION DE LA '!N24</f>
        <v>0</v>
      </c>
      <c r="Q228" s="19">
        <f ca="1">'2ER PERIODO CONSTRUCCION DE LA '!O24</f>
        <v>0</v>
      </c>
      <c r="R228" s="19">
        <f ca="1">'2ER PERIODO CONSTRUCCION DE LA '!P24</f>
        <v>0</v>
      </c>
      <c r="S228" s="19">
        <f ca="1">'2ER PERIODO CONSTRUCCION DE LA '!Q24</f>
        <v>0</v>
      </c>
      <c r="T228" s="19">
        <f ca="1">'2ER PERIODO CONSTRUCCION DE LA '!R24</f>
        <v>0</v>
      </c>
      <c r="U228" s="21">
        <f ca="1">'2ER PERIODO CONSTRUCCION DE LA '!S24</f>
        <v>2195</v>
      </c>
    </row>
    <row r="229" spans="1:21" ht="39.75" customHeight="1">
      <c r="A229" s="53"/>
      <c r="B229" s="50" t="s">
        <v>277</v>
      </c>
      <c r="C229" s="22" t="s">
        <v>278</v>
      </c>
      <c r="D229" s="16">
        <v>133.5</v>
      </c>
      <c r="E229" s="17" t="str">
        <f ca="1">'1ER PERIODO CONSTRUCCION DE LA '!C25</f>
        <v>M2</v>
      </c>
      <c r="F229" s="17" t="str">
        <f ca="1">'1ER PERIODO CONSTRUCCION DE LA '!D25</f>
        <v>ASCENDENTE</v>
      </c>
      <c r="G229" s="17" t="str">
        <f ca="1">'1ER PERIODO CONSTRUCCION DE LA '!E25</f>
        <v>BITACORA OPERATIVA</v>
      </c>
      <c r="H229" s="18">
        <f ca="1">'2ER PERIODO CONSTRUCCION DE LA '!F25</f>
        <v>12.5</v>
      </c>
      <c r="I229" s="19">
        <f ca="1">'2ER PERIODO CONSTRUCCION DE LA '!G25</f>
        <v>1</v>
      </c>
      <c r="J229" s="19">
        <f ca="1">'2ER PERIODO CONSTRUCCION DE LA '!H25</f>
        <v>1</v>
      </c>
      <c r="K229" s="19">
        <f ca="1">'2ER PERIODO CONSTRUCCION DE LA '!I25</f>
        <v>1</v>
      </c>
      <c r="L229" s="19">
        <f ca="1">'2ER PERIODO CONSTRUCCION DE LA '!J25</f>
        <v>0</v>
      </c>
      <c r="M229" s="19">
        <f ca="1">'2ER PERIODO CONSTRUCCION DE LA '!K25</f>
        <v>0</v>
      </c>
      <c r="N229" s="19">
        <f ca="1">'2ER PERIODO CONSTRUCCION DE LA '!L25</f>
        <v>0</v>
      </c>
      <c r="O229" s="19">
        <f ca="1">'2ER PERIODO CONSTRUCCION DE LA '!M25</f>
        <v>0</v>
      </c>
      <c r="P229" s="19">
        <f ca="1">'2ER PERIODO CONSTRUCCION DE LA '!N25</f>
        <v>0</v>
      </c>
      <c r="Q229" s="19">
        <f ca="1">'2ER PERIODO CONSTRUCCION DE LA '!O25</f>
        <v>0</v>
      </c>
      <c r="R229" s="19">
        <f ca="1">'2ER PERIODO CONSTRUCCION DE LA '!P25</f>
        <v>0</v>
      </c>
      <c r="S229" s="19">
        <f ca="1">'2ER PERIODO CONSTRUCCION DE LA '!Q25</f>
        <v>0</v>
      </c>
      <c r="T229" s="19">
        <f ca="1">'2ER PERIODO CONSTRUCCION DE LA '!R25</f>
        <v>0</v>
      </c>
      <c r="U229" s="21">
        <f ca="1">'2ER PERIODO CONSTRUCCION DE LA '!S25</f>
        <v>3</v>
      </c>
    </row>
    <row r="230" spans="1:21" ht="39.75" customHeight="1">
      <c r="A230" s="53"/>
      <c r="B230" s="51"/>
      <c r="C230" s="22" t="s">
        <v>279</v>
      </c>
      <c r="D230" s="16">
        <v>16</v>
      </c>
      <c r="E230" s="17" t="str">
        <f ca="1">'1ER PERIODO CONSTRUCCION DE LA '!C26</f>
        <v>MURALES</v>
      </c>
      <c r="F230" s="17" t="str">
        <f ca="1">'1ER PERIODO CONSTRUCCION DE LA '!D26</f>
        <v>ASCENDENTE</v>
      </c>
      <c r="G230" s="17" t="str">
        <f ca="1">'1ER PERIODO CONSTRUCCION DE LA '!E26</f>
        <v>BITACORA OPERATIVA</v>
      </c>
      <c r="H230" s="18">
        <f ca="1">'2ER PERIODO CONSTRUCCION DE LA '!F26</f>
        <v>8.3333333333333304</v>
      </c>
      <c r="I230" s="19">
        <f ca="1">'2ER PERIODO CONSTRUCCION DE LA '!G26</f>
        <v>1</v>
      </c>
      <c r="J230" s="19">
        <f ca="1">'2ER PERIODO CONSTRUCCION DE LA '!H26</f>
        <v>1</v>
      </c>
      <c r="K230" s="19">
        <f ca="1">'2ER PERIODO CONSTRUCCION DE LA '!I26</f>
        <v>0</v>
      </c>
      <c r="L230" s="19">
        <f ca="1">'2ER PERIODO CONSTRUCCION DE LA '!J26</f>
        <v>0</v>
      </c>
      <c r="M230" s="19">
        <f ca="1">'2ER PERIODO CONSTRUCCION DE LA '!K26</f>
        <v>0</v>
      </c>
      <c r="N230" s="19">
        <f ca="1">'2ER PERIODO CONSTRUCCION DE LA '!L26</f>
        <v>0</v>
      </c>
      <c r="O230" s="19">
        <f ca="1">'2ER PERIODO CONSTRUCCION DE LA '!M26</f>
        <v>0</v>
      </c>
      <c r="P230" s="19">
        <f ca="1">'2ER PERIODO CONSTRUCCION DE LA '!N26</f>
        <v>0</v>
      </c>
      <c r="Q230" s="19">
        <f ca="1">'2ER PERIODO CONSTRUCCION DE LA '!O26</f>
        <v>0</v>
      </c>
      <c r="R230" s="19">
        <f ca="1">'2ER PERIODO CONSTRUCCION DE LA '!P26</f>
        <v>0</v>
      </c>
      <c r="S230" s="19">
        <f ca="1">'2ER PERIODO CONSTRUCCION DE LA '!Q26</f>
        <v>0</v>
      </c>
      <c r="T230" s="19">
        <f ca="1">'2ER PERIODO CONSTRUCCION DE LA '!R26</f>
        <v>0</v>
      </c>
      <c r="U230" s="21">
        <f ca="1">'2ER PERIODO CONSTRUCCION DE LA '!S26</f>
        <v>2</v>
      </c>
    </row>
    <row r="231" spans="1:21" ht="39.75" customHeight="1">
      <c r="A231" s="53"/>
      <c r="B231" s="50" t="s">
        <v>280</v>
      </c>
      <c r="C231" s="22" t="s">
        <v>281</v>
      </c>
      <c r="D231" s="16">
        <v>273</v>
      </c>
      <c r="E231" s="17" t="str">
        <f ca="1">'1ER PERIODO CONSTRUCCION DE LA '!C27</f>
        <v>TALLERES</v>
      </c>
      <c r="F231" s="17" t="str">
        <f ca="1">'1ER PERIODO CONSTRUCCION DE LA '!D27</f>
        <v>ASCENDENTE</v>
      </c>
      <c r="G231" s="17" t="str">
        <f ca="1">'1ER PERIODO CONSTRUCCION DE LA '!E27</f>
        <v>BITACORA OPERATIVA</v>
      </c>
      <c r="H231" s="18">
        <f ca="1">'2ER PERIODO CONSTRUCCION DE LA '!F27</f>
        <v>273.91304347826002</v>
      </c>
      <c r="I231" s="19">
        <f ca="1">'2ER PERIODO CONSTRUCCION DE LA '!G27</f>
        <v>21</v>
      </c>
      <c r="J231" s="19">
        <f ca="1">'2ER PERIODO CONSTRUCCION DE LA '!H27</f>
        <v>21</v>
      </c>
      <c r="K231" s="19">
        <f ca="1">'2ER PERIODO CONSTRUCCION DE LA '!I27</f>
        <v>21</v>
      </c>
      <c r="L231" s="19">
        <f ca="1">'2ER PERIODO CONSTRUCCION DE LA '!J27</f>
        <v>0</v>
      </c>
      <c r="M231" s="19">
        <f ca="1">'2ER PERIODO CONSTRUCCION DE LA '!K27</f>
        <v>0</v>
      </c>
      <c r="N231" s="19">
        <f ca="1">'2ER PERIODO CONSTRUCCION DE LA '!L27</f>
        <v>0</v>
      </c>
      <c r="O231" s="19">
        <f ca="1">'2ER PERIODO CONSTRUCCION DE LA '!M27</f>
        <v>0</v>
      </c>
      <c r="P231" s="19">
        <f ca="1">'2ER PERIODO CONSTRUCCION DE LA '!N27</f>
        <v>0</v>
      </c>
      <c r="Q231" s="19">
        <f ca="1">'2ER PERIODO CONSTRUCCION DE LA '!O27</f>
        <v>0</v>
      </c>
      <c r="R231" s="19">
        <f ca="1">'2ER PERIODO CONSTRUCCION DE LA '!P27</f>
        <v>0</v>
      </c>
      <c r="S231" s="19">
        <f ca="1">'2ER PERIODO CONSTRUCCION DE LA '!Q27</f>
        <v>0</v>
      </c>
      <c r="T231" s="19">
        <f ca="1">'2ER PERIODO CONSTRUCCION DE LA '!R27</f>
        <v>0</v>
      </c>
      <c r="U231" s="21">
        <f ca="1">'2ER PERIODO CONSTRUCCION DE LA '!S27</f>
        <v>63</v>
      </c>
    </row>
    <row r="232" spans="1:21" ht="39.75" customHeight="1">
      <c r="A232" s="53"/>
      <c r="B232" s="51"/>
      <c r="C232" s="22" t="s">
        <v>38</v>
      </c>
      <c r="D232" s="16">
        <v>4343</v>
      </c>
      <c r="E232" s="17" t="str">
        <f ca="1">'1ER PERIODO CONSTRUCCION DE LA '!C28</f>
        <v>PERSONAS</v>
      </c>
      <c r="F232" s="17" t="str">
        <f ca="1">'1ER PERIODO CONSTRUCCION DE LA '!D28</f>
        <v>ASCENDENTE</v>
      </c>
      <c r="G232" s="17" t="str">
        <f ca="1">'1ER PERIODO CONSTRUCCION DE LA '!E28</f>
        <v>BITACORA OPERATIVA</v>
      </c>
      <c r="H232" s="18">
        <f ca="1">'2ER PERIODO CONSTRUCCION DE LA '!F28</f>
        <v>23.591549295774598</v>
      </c>
      <c r="I232" s="19">
        <f ca="1">'2ER PERIODO CONSTRUCCION DE LA '!G28</f>
        <v>364</v>
      </c>
      <c r="J232" s="19">
        <f ca="1">'2ER PERIODO CONSTRUCCION DE LA '!H28</f>
        <v>345</v>
      </c>
      <c r="K232" s="19">
        <f ca="1">'2ER PERIODO CONSTRUCCION DE LA '!I28</f>
        <v>296</v>
      </c>
      <c r="L232" s="19">
        <f ca="1">'2ER PERIODO CONSTRUCCION DE LA '!J28</f>
        <v>0</v>
      </c>
      <c r="M232" s="19">
        <f ca="1">'2ER PERIODO CONSTRUCCION DE LA '!K28</f>
        <v>0</v>
      </c>
      <c r="N232" s="19">
        <f ca="1">'2ER PERIODO CONSTRUCCION DE LA '!L28</f>
        <v>0</v>
      </c>
      <c r="O232" s="19">
        <f ca="1">'2ER PERIODO CONSTRUCCION DE LA '!M28</f>
        <v>0</v>
      </c>
      <c r="P232" s="19">
        <f ca="1">'2ER PERIODO CONSTRUCCION DE LA '!N28</f>
        <v>0</v>
      </c>
      <c r="Q232" s="19">
        <f ca="1">'2ER PERIODO CONSTRUCCION DE LA '!O28</f>
        <v>0</v>
      </c>
      <c r="R232" s="19">
        <f ca="1">'2ER PERIODO CONSTRUCCION DE LA '!P28</f>
        <v>0</v>
      </c>
      <c r="S232" s="19">
        <f ca="1">'2ER PERIODO CONSTRUCCION DE LA '!Q28</f>
        <v>0</v>
      </c>
      <c r="T232" s="19">
        <f ca="1">'2ER PERIODO CONSTRUCCION DE LA '!R28</f>
        <v>0</v>
      </c>
      <c r="U232" s="21">
        <f ca="1">'2ER PERIODO CONSTRUCCION DE LA '!S28</f>
        <v>1005</v>
      </c>
    </row>
    <row r="233" spans="1:21" ht="39.75" customHeight="1">
      <c r="A233" s="53"/>
      <c r="B233" s="50" t="s">
        <v>282</v>
      </c>
      <c r="C233" s="22" t="s">
        <v>281</v>
      </c>
      <c r="D233" s="16">
        <v>101</v>
      </c>
      <c r="E233" s="17" t="str">
        <f ca="1">'1ER PERIODO CONSTRUCCION DE LA '!C29</f>
        <v>TALLERES</v>
      </c>
      <c r="F233" s="17" t="str">
        <f ca="1">'1ER PERIODO CONSTRUCCION DE LA '!D29</f>
        <v>ASCENDENTE</v>
      </c>
      <c r="G233" s="17" t="str">
        <f ca="1">'1ER PERIODO CONSTRUCCION DE LA '!E29</f>
        <v>BITACORA OPERATIVA</v>
      </c>
      <c r="H233" s="18">
        <f ca="1">'2ER PERIODO CONSTRUCCION DE LA '!F29</f>
        <v>280</v>
      </c>
      <c r="I233" s="19">
        <f ca="1">'2ER PERIODO CONSTRUCCION DE LA '!G29</f>
        <v>14</v>
      </c>
      <c r="J233" s="19">
        <f ca="1">'2ER PERIODO CONSTRUCCION DE LA '!H29</f>
        <v>14</v>
      </c>
      <c r="K233" s="19">
        <f ca="1">'2ER PERIODO CONSTRUCCION DE LA '!I29</f>
        <v>0</v>
      </c>
      <c r="L233" s="19">
        <f ca="1">'2ER PERIODO CONSTRUCCION DE LA '!J29</f>
        <v>0</v>
      </c>
      <c r="M233" s="19">
        <f ca="1">'2ER PERIODO CONSTRUCCION DE LA '!K29</f>
        <v>0</v>
      </c>
      <c r="N233" s="19">
        <f ca="1">'2ER PERIODO CONSTRUCCION DE LA '!L29</f>
        <v>0</v>
      </c>
      <c r="O233" s="19">
        <f ca="1">'2ER PERIODO CONSTRUCCION DE LA '!M29</f>
        <v>0</v>
      </c>
      <c r="P233" s="19">
        <f ca="1">'2ER PERIODO CONSTRUCCION DE LA '!N29</f>
        <v>0</v>
      </c>
      <c r="Q233" s="19">
        <f ca="1">'2ER PERIODO CONSTRUCCION DE LA '!O29</f>
        <v>0</v>
      </c>
      <c r="R233" s="19">
        <f ca="1">'2ER PERIODO CONSTRUCCION DE LA '!P29</f>
        <v>0</v>
      </c>
      <c r="S233" s="19">
        <f ca="1">'2ER PERIODO CONSTRUCCION DE LA '!Q29</f>
        <v>0</v>
      </c>
      <c r="T233" s="19">
        <f ca="1">'2ER PERIODO CONSTRUCCION DE LA '!R29</f>
        <v>0</v>
      </c>
      <c r="U233" s="21">
        <f ca="1">'2ER PERIODO CONSTRUCCION DE LA '!S29</f>
        <v>28</v>
      </c>
    </row>
    <row r="234" spans="1:21" ht="39.75" customHeight="1">
      <c r="A234" s="51"/>
      <c r="B234" s="51"/>
      <c r="C234" s="22" t="s">
        <v>38</v>
      </c>
      <c r="D234" s="16">
        <v>2162</v>
      </c>
      <c r="E234" s="17" t="str">
        <f ca="1">'1ER PERIODO CONSTRUCCION DE LA '!C30</f>
        <v>PERSONAS</v>
      </c>
      <c r="F234" s="17" t="str">
        <f ca="1">'1ER PERIODO CONSTRUCCION DE LA '!D30</f>
        <v>ASCENDENTE</v>
      </c>
      <c r="G234" s="17" t="str">
        <f ca="1">'1ER PERIODO CONSTRUCCION DE LA '!E30</f>
        <v>BITACORA OPERATIVA</v>
      </c>
      <c r="H234" s="18">
        <f ca="1">'2ER PERIODO CONSTRUCCION DE LA '!F30</f>
        <v>47.839506172839499</v>
      </c>
      <c r="I234" s="19">
        <f ca="1">'2ER PERIODO CONSTRUCCION DE LA '!G30</f>
        <v>303</v>
      </c>
      <c r="J234" s="19">
        <f ca="1">'2ER PERIODO CONSTRUCCION DE LA '!H30</f>
        <v>261</v>
      </c>
      <c r="K234" s="19">
        <f ca="1">'2ER PERIODO CONSTRUCCION DE LA '!I30</f>
        <v>211</v>
      </c>
      <c r="L234" s="19">
        <f ca="1">'2ER PERIODO CONSTRUCCION DE LA '!J30</f>
        <v>0</v>
      </c>
      <c r="M234" s="19">
        <f ca="1">'2ER PERIODO CONSTRUCCION DE LA '!K30</f>
        <v>0</v>
      </c>
      <c r="N234" s="19">
        <f ca="1">'2ER PERIODO CONSTRUCCION DE LA '!L30</f>
        <v>0</v>
      </c>
      <c r="O234" s="19">
        <f ca="1">'2ER PERIODO CONSTRUCCION DE LA '!M30</f>
        <v>0</v>
      </c>
      <c r="P234" s="19">
        <f ca="1">'2ER PERIODO CONSTRUCCION DE LA '!N30</f>
        <v>0</v>
      </c>
      <c r="Q234" s="19">
        <f ca="1">'2ER PERIODO CONSTRUCCION DE LA '!O30</f>
        <v>0</v>
      </c>
      <c r="R234" s="19">
        <f ca="1">'2ER PERIODO CONSTRUCCION DE LA '!P30</f>
        <v>0</v>
      </c>
      <c r="S234" s="19">
        <f ca="1">'2ER PERIODO CONSTRUCCION DE LA '!Q30</f>
        <v>0</v>
      </c>
      <c r="T234" s="19">
        <f ca="1">'2ER PERIODO CONSTRUCCION DE LA '!R30</f>
        <v>0</v>
      </c>
      <c r="U234" s="21">
        <f ca="1">'2ER PERIODO CONSTRUCCION DE LA '!S30</f>
        <v>775</v>
      </c>
    </row>
    <row r="235" spans="1:21" ht="39.75" customHeight="1">
      <c r="A235" s="52" t="s">
        <v>283</v>
      </c>
      <c r="B235" s="52" t="s">
        <v>284</v>
      </c>
      <c r="C235" s="12" t="str">
        <f ca="1">'1ERA SERVICIOS GENERALES'!A2</f>
        <v>MANTENIMIENTO A INFRAESTRUCTURA DE AGUA POTABLE</v>
      </c>
      <c r="D235" s="8">
        <v>263</v>
      </c>
      <c r="E235" s="8" t="s">
        <v>285</v>
      </c>
      <c r="F235" s="8" t="s">
        <v>286</v>
      </c>
      <c r="G235" s="8" t="s">
        <v>287</v>
      </c>
      <c r="H235" s="18">
        <f ca="1">'2ERA SERVICIOS GENERALES'!F2</f>
        <v>0</v>
      </c>
      <c r="I235" s="19">
        <f ca="1">'2ERA SERVICIOS GENERALES'!G2</f>
        <v>33</v>
      </c>
      <c r="J235" s="19">
        <f ca="1">'2ERA SERVICIOS GENERALES'!H2</f>
        <v>19</v>
      </c>
      <c r="K235" s="19">
        <f ca="1">'2ERA SERVICIOS GENERALES'!I2</f>
        <v>0</v>
      </c>
      <c r="L235" s="19">
        <f ca="1">'2ERA SERVICIOS GENERALES'!J2</f>
        <v>0</v>
      </c>
      <c r="M235" s="19">
        <f ca="1">'2ERA SERVICIOS GENERALES'!K2</f>
        <v>0</v>
      </c>
      <c r="N235" s="19">
        <f ca="1">'2ERA SERVICIOS GENERALES'!L2</f>
        <v>0</v>
      </c>
      <c r="O235" s="19">
        <f ca="1">'2ERA SERVICIOS GENERALES'!M2</f>
        <v>0</v>
      </c>
      <c r="P235" s="19">
        <f ca="1">'2ERA SERVICIOS GENERALES'!N2</f>
        <v>0</v>
      </c>
      <c r="Q235" s="19">
        <f ca="1">'2ERA SERVICIOS GENERALES'!O2</f>
        <v>0</v>
      </c>
      <c r="R235" s="19">
        <f ca="1">'2ERA SERVICIOS GENERALES'!P2</f>
        <v>0</v>
      </c>
      <c r="S235" s="19">
        <f ca="1">'2ERA SERVICIOS GENERALES'!Q2</f>
        <v>0</v>
      </c>
      <c r="T235" s="19">
        <f ca="1">'2ERA SERVICIOS GENERALES'!R2</f>
        <v>0</v>
      </c>
      <c r="U235" s="21">
        <f ca="1">'2ERA SERVICIOS GENERALES'!S2</f>
        <v>52</v>
      </c>
    </row>
    <row r="236" spans="1:21" ht="39.75" customHeight="1">
      <c r="A236" s="53"/>
      <c r="B236" s="53"/>
      <c r="C236" s="12" t="str">
        <f ca="1">'1ERA SERVICIOS GENERALES'!A3</f>
        <v>REPORTES FUGAS DE AGUA</v>
      </c>
      <c r="D236" s="8">
        <v>1356</v>
      </c>
      <c r="E236" s="8" t="s">
        <v>288</v>
      </c>
      <c r="F236" s="8" t="s">
        <v>289</v>
      </c>
      <c r="G236" s="8" t="s">
        <v>287</v>
      </c>
      <c r="H236" s="18">
        <f ca="1">'2ERA SERVICIOS GENERALES'!F3</f>
        <v>0</v>
      </c>
      <c r="I236" s="19">
        <f ca="1">'2ERA SERVICIOS GENERALES'!G3</f>
        <v>80</v>
      </c>
      <c r="J236" s="19">
        <f ca="1">'2ERA SERVICIOS GENERALES'!H3</f>
        <v>46</v>
      </c>
      <c r="K236" s="19">
        <f ca="1">'2ERA SERVICIOS GENERALES'!I3</f>
        <v>0</v>
      </c>
      <c r="L236" s="19">
        <f ca="1">'2ERA SERVICIOS GENERALES'!J3</f>
        <v>0</v>
      </c>
      <c r="M236" s="19">
        <f ca="1">'2ERA SERVICIOS GENERALES'!K3</f>
        <v>0</v>
      </c>
      <c r="N236" s="19">
        <f ca="1">'2ERA SERVICIOS GENERALES'!L3</f>
        <v>0</v>
      </c>
      <c r="O236" s="19">
        <f ca="1">'2ERA SERVICIOS GENERALES'!M3</f>
        <v>0</v>
      </c>
      <c r="P236" s="19">
        <f ca="1">'2ERA SERVICIOS GENERALES'!N3</f>
        <v>0</v>
      </c>
      <c r="Q236" s="19">
        <f ca="1">'2ERA SERVICIOS GENERALES'!O3</f>
        <v>0</v>
      </c>
      <c r="R236" s="19">
        <f ca="1">'2ERA SERVICIOS GENERALES'!P3</f>
        <v>0</v>
      </c>
      <c r="S236" s="19">
        <f ca="1">'2ERA SERVICIOS GENERALES'!Q3</f>
        <v>0</v>
      </c>
      <c r="T236" s="19">
        <f ca="1">'2ERA SERVICIOS GENERALES'!R3</f>
        <v>0</v>
      </c>
      <c r="U236" s="21">
        <f ca="1">'2ERA SERVICIOS GENERALES'!S3</f>
        <v>126</v>
      </c>
    </row>
    <row r="237" spans="1:21" ht="39.75" customHeight="1">
      <c r="A237" s="53"/>
      <c r="B237" s="53"/>
      <c r="C237" s="12" t="str">
        <f ca="1">'1ERA SERVICIOS GENERALES'!A4</f>
        <v>RECONEXIONES TOMAS DE AGUA</v>
      </c>
      <c r="D237" s="8">
        <v>76</v>
      </c>
      <c r="E237" s="8" t="s">
        <v>290</v>
      </c>
      <c r="F237" s="8" t="s">
        <v>289</v>
      </c>
      <c r="G237" s="8" t="s">
        <v>287</v>
      </c>
      <c r="H237" s="18">
        <f ca="1">'2ERA SERVICIOS GENERALES'!F4</f>
        <v>0</v>
      </c>
      <c r="I237" s="19">
        <f ca="1">'2ERA SERVICIOS GENERALES'!G4</f>
        <v>6</v>
      </c>
      <c r="J237" s="19">
        <f ca="1">'2ERA SERVICIOS GENERALES'!H4</f>
        <v>4</v>
      </c>
      <c r="K237" s="19">
        <f ca="1">'2ERA SERVICIOS GENERALES'!I4</f>
        <v>0</v>
      </c>
      <c r="L237" s="19">
        <f ca="1">'2ERA SERVICIOS GENERALES'!J4</f>
        <v>0</v>
      </c>
      <c r="M237" s="19">
        <f ca="1">'2ERA SERVICIOS GENERALES'!K4</f>
        <v>0</v>
      </c>
      <c r="N237" s="19">
        <f ca="1">'2ERA SERVICIOS GENERALES'!L4</f>
        <v>0</v>
      </c>
      <c r="O237" s="19">
        <f ca="1">'2ERA SERVICIOS GENERALES'!M4</f>
        <v>0</v>
      </c>
      <c r="P237" s="19">
        <f ca="1">'2ERA SERVICIOS GENERALES'!N4</f>
        <v>0</v>
      </c>
      <c r="Q237" s="19">
        <f ca="1">'2ERA SERVICIOS GENERALES'!O4</f>
        <v>0</v>
      </c>
      <c r="R237" s="19">
        <f ca="1">'2ERA SERVICIOS GENERALES'!P4</f>
        <v>0</v>
      </c>
      <c r="S237" s="19">
        <f ca="1">'2ERA SERVICIOS GENERALES'!Q4</f>
        <v>0</v>
      </c>
      <c r="T237" s="19">
        <f ca="1">'2ERA SERVICIOS GENERALES'!R4</f>
        <v>0</v>
      </c>
      <c r="U237" s="21">
        <f ca="1">'2ERA SERVICIOS GENERALES'!S4</f>
        <v>10</v>
      </c>
    </row>
    <row r="238" spans="1:21" ht="39.75" customHeight="1">
      <c r="A238" s="53"/>
      <c r="B238" s="53"/>
      <c r="C238" s="12" t="str">
        <f ca="1">'1ERA SERVICIOS GENERALES'!A5</f>
        <v>SOPLETEAR TOMAS</v>
      </c>
      <c r="D238" s="8">
        <v>129</v>
      </c>
      <c r="E238" s="8" t="s">
        <v>291</v>
      </c>
      <c r="F238" s="8" t="s">
        <v>286</v>
      </c>
      <c r="G238" s="8" t="s">
        <v>292</v>
      </c>
      <c r="H238" s="18">
        <f ca="1">'2ERA SERVICIOS GENERALES'!F5</f>
        <v>0</v>
      </c>
      <c r="I238" s="19">
        <f ca="1">'2ERA SERVICIOS GENERALES'!G5</f>
        <v>18</v>
      </c>
      <c r="J238" s="19">
        <f ca="1">'2ERA SERVICIOS GENERALES'!H5</f>
        <v>25</v>
      </c>
      <c r="K238" s="19">
        <f ca="1">'2ERA SERVICIOS GENERALES'!I5</f>
        <v>0</v>
      </c>
      <c r="L238" s="19">
        <f ca="1">'2ERA SERVICIOS GENERALES'!J5</f>
        <v>0</v>
      </c>
      <c r="M238" s="19">
        <f ca="1">'2ERA SERVICIOS GENERALES'!K5</f>
        <v>0</v>
      </c>
      <c r="N238" s="19">
        <f ca="1">'2ERA SERVICIOS GENERALES'!L5</f>
        <v>0</v>
      </c>
      <c r="O238" s="19">
        <f ca="1">'2ERA SERVICIOS GENERALES'!M5</f>
        <v>0</v>
      </c>
      <c r="P238" s="19">
        <f ca="1">'2ERA SERVICIOS GENERALES'!N5</f>
        <v>0</v>
      </c>
      <c r="Q238" s="19">
        <f ca="1">'2ERA SERVICIOS GENERALES'!O5</f>
        <v>0</v>
      </c>
      <c r="R238" s="19">
        <f ca="1">'2ERA SERVICIOS GENERALES'!P5</f>
        <v>0</v>
      </c>
      <c r="S238" s="19">
        <f ca="1">'2ERA SERVICIOS GENERALES'!Q5</f>
        <v>0</v>
      </c>
      <c r="T238" s="19">
        <f ca="1">'2ERA SERVICIOS GENERALES'!R5</f>
        <v>0</v>
      </c>
      <c r="U238" s="21">
        <f ca="1">'2ERA SERVICIOS GENERALES'!S5</f>
        <v>43</v>
      </c>
    </row>
    <row r="239" spans="1:21" ht="39.75" customHeight="1">
      <c r="A239" s="53"/>
      <c r="B239" s="53"/>
      <c r="C239" s="12" t="str">
        <f ca="1">'1ERA SERVICIOS GENERALES'!A6</f>
        <v>SUSPENSIÓN DE TOMAS</v>
      </c>
      <c r="D239" s="8">
        <v>117</v>
      </c>
      <c r="E239" s="8" t="s">
        <v>293</v>
      </c>
      <c r="F239" s="8" t="s">
        <v>286</v>
      </c>
      <c r="G239" s="8" t="s">
        <v>292</v>
      </c>
      <c r="H239" s="18">
        <f ca="1">'2ERA SERVICIOS GENERALES'!F6</f>
        <v>0</v>
      </c>
      <c r="I239" s="19">
        <f ca="1">'2ERA SERVICIOS GENERALES'!G6</f>
        <v>8</v>
      </c>
      <c r="J239" s="19">
        <f ca="1">'2ERA SERVICIOS GENERALES'!H6</f>
        <v>7</v>
      </c>
      <c r="K239" s="19">
        <f ca="1">'2ERA SERVICIOS GENERALES'!I6</f>
        <v>0</v>
      </c>
      <c r="L239" s="19">
        <f ca="1">'2ERA SERVICIOS GENERALES'!J6</f>
        <v>0</v>
      </c>
      <c r="M239" s="19">
        <f ca="1">'2ERA SERVICIOS GENERALES'!K6</f>
        <v>0</v>
      </c>
      <c r="N239" s="19">
        <f ca="1">'2ERA SERVICIOS GENERALES'!L6</f>
        <v>0</v>
      </c>
      <c r="O239" s="19">
        <f ca="1">'2ERA SERVICIOS GENERALES'!M6</f>
        <v>0</v>
      </c>
      <c r="P239" s="19">
        <f ca="1">'2ERA SERVICIOS GENERALES'!N6</f>
        <v>0</v>
      </c>
      <c r="Q239" s="19">
        <f ca="1">'2ERA SERVICIOS GENERALES'!O6</f>
        <v>0</v>
      </c>
      <c r="R239" s="19">
        <f ca="1">'2ERA SERVICIOS GENERALES'!P6</f>
        <v>0</v>
      </c>
      <c r="S239" s="19">
        <f ca="1">'2ERA SERVICIOS GENERALES'!Q6</f>
        <v>0</v>
      </c>
      <c r="T239" s="19">
        <f ca="1">'2ERA SERVICIOS GENERALES'!R6</f>
        <v>0</v>
      </c>
      <c r="U239" s="21">
        <f ca="1">'2ERA SERVICIOS GENERALES'!S6</f>
        <v>15</v>
      </c>
    </row>
    <row r="240" spans="1:21" ht="39.75" customHeight="1">
      <c r="A240" s="53"/>
      <c r="B240" s="53"/>
      <c r="C240" s="12" t="str">
        <f ca="1">'1ERA SERVICIOS GENERALES'!A7</f>
        <v>REPARACIÓN O DESASOLVE</v>
      </c>
      <c r="D240" s="8">
        <v>205</v>
      </c>
      <c r="E240" s="8" t="s">
        <v>294</v>
      </c>
      <c r="F240" s="8" t="s">
        <v>286</v>
      </c>
      <c r="G240" s="8" t="s">
        <v>292</v>
      </c>
      <c r="H240" s="18">
        <f ca="1">'2ERA SERVICIOS GENERALES'!F7</f>
        <v>0</v>
      </c>
      <c r="I240" s="19">
        <f ca="1">'2ERA SERVICIOS GENERALES'!G7</f>
        <v>16</v>
      </c>
      <c r="J240" s="19">
        <f ca="1">'2ERA SERVICIOS GENERALES'!H7</f>
        <v>9</v>
      </c>
      <c r="K240" s="19">
        <f ca="1">'2ERA SERVICIOS GENERALES'!I7</f>
        <v>0</v>
      </c>
      <c r="L240" s="19">
        <f ca="1">'2ERA SERVICIOS GENERALES'!J7</f>
        <v>0</v>
      </c>
      <c r="M240" s="19">
        <f ca="1">'2ERA SERVICIOS GENERALES'!K7</f>
        <v>0</v>
      </c>
      <c r="N240" s="19">
        <f ca="1">'2ERA SERVICIOS GENERALES'!L7</f>
        <v>0</v>
      </c>
      <c r="O240" s="19">
        <f ca="1">'2ERA SERVICIOS GENERALES'!M7</f>
        <v>0</v>
      </c>
      <c r="P240" s="19">
        <f ca="1">'2ERA SERVICIOS GENERALES'!N7</f>
        <v>0</v>
      </c>
      <c r="Q240" s="19">
        <f ca="1">'2ERA SERVICIOS GENERALES'!O7</f>
        <v>0</v>
      </c>
      <c r="R240" s="19">
        <f ca="1">'2ERA SERVICIOS GENERALES'!P7</f>
        <v>0</v>
      </c>
      <c r="S240" s="19">
        <f ca="1">'2ERA SERVICIOS GENERALES'!Q7</f>
        <v>0</v>
      </c>
      <c r="T240" s="19">
        <f ca="1">'2ERA SERVICIOS GENERALES'!R7</f>
        <v>0</v>
      </c>
      <c r="U240" s="21">
        <f ca="1">'2ERA SERVICIOS GENERALES'!S7</f>
        <v>25</v>
      </c>
    </row>
    <row r="241" spans="1:21" ht="39.75" customHeight="1">
      <c r="A241" s="53"/>
      <c r="B241" s="53"/>
      <c r="C241" s="12" t="str">
        <f ca="1">'1ERA SERVICIOS GENERALES'!A8</f>
        <v>CAMBIOS DE NOMBRE DE TOMAS DE AGUA POTABLE</v>
      </c>
      <c r="D241" s="8">
        <v>174</v>
      </c>
      <c r="E241" s="8" t="s">
        <v>295</v>
      </c>
      <c r="F241" s="8" t="s">
        <v>286</v>
      </c>
      <c r="G241" s="8" t="s">
        <v>292</v>
      </c>
      <c r="H241" s="18">
        <f ca="1">'2ERA SERVICIOS GENERALES'!F8</f>
        <v>0</v>
      </c>
      <c r="I241" s="19">
        <f ca="1">'2ERA SERVICIOS GENERALES'!G8</f>
        <v>5</v>
      </c>
      <c r="J241" s="19">
        <f ca="1">'2ERA SERVICIOS GENERALES'!H8</f>
        <v>4</v>
      </c>
      <c r="K241" s="19">
        <f ca="1">'2ERA SERVICIOS GENERALES'!I8</f>
        <v>0</v>
      </c>
      <c r="L241" s="19">
        <f ca="1">'2ERA SERVICIOS GENERALES'!J8</f>
        <v>0</v>
      </c>
      <c r="M241" s="19">
        <f ca="1">'2ERA SERVICIOS GENERALES'!K8</f>
        <v>0</v>
      </c>
      <c r="N241" s="19">
        <f ca="1">'2ERA SERVICIOS GENERALES'!L8</f>
        <v>0</v>
      </c>
      <c r="O241" s="19">
        <f ca="1">'2ERA SERVICIOS GENERALES'!M8</f>
        <v>0</v>
      </c>
      <c r="P241" s="19">
        <f ca="1">'2ERA SERVICIOS GENERALES'!N8</f>
        <v>0</v>
      </c>
      <c r="Q241" s="19">
        <f ca="1">'2ERA SERVICIOS GENERALES'!O8</f>
        <v>0</v>
      </c>
      <c r="R241" s="19">
        <f ca="1">'2ERA SERVICIOS GENERALES'!P8</f>
        <v>0</v>
      </c>
      <c r="S241" s="19">
        <f ca="1">'2ERA SERVICIOS GENERALES'!Q8</f>
        <v>0</v>
      </c>
      <c r="T241" s="19">
        <f ca="1">'2ERA SERVICIOS GENERALES'!R8</f>
        <v>0</v>
      </c>
      <c r="U241" s="21">
        <f ca="1">'2ERA SERVICIOS GENERALES'!S8</f>
        <v>9</v>
      </c>
    </row>
    <row r="242" spans="1:21" ht="39.75" customHeight="1">
      <c r="A242" s="53"/>
      <c r="B242" s="53"/>
      <c r="C242" s="12" t="str">
        <f ca="1">'1ERA SERVICIOS GENERALES'!A9</f>
        <v>NUEVAS TOMAS DE AGUA POTABLE(ZONA URBANA)</v>
      </c>
      <c r="D242" s="8">
        <v>263</v>
      </c>
      <c r="E242" s="8" t="s">
        <v>296</v>
      </c>
      <c r="F242" s="8" t="s">
        <v>286</v>
      </c>
      <c r="G242" s="8" t="s">
        <v>292</v>
      </c>
      <c r="H242" s="18">
        <f ca="1">'2ERA SERVICIOS GENERALES'!F9</f>
        <v>0</v>
      </c>
      <c r="I242" s="19">
        <f ca="1">'2ERA SERVICIOS GENERALES'!G9</f>
        <v>25</v>
      </c>
      <c r="J242" s="19">
        <f ca="1">'2ERA SERVICIOS GENERALES'!H9</f>
        <v>31</v>
      </c>
      <c r="K242" s="19">
        <f ca="1">'2ERA SERVICIOS GENERALES'!I9</f>
        <v>0</v>
      </c>
      <c r="L242" s="19">
        <f ca="1">'2ERA SERVICIOS GENERALES'!J9</f>
        <v>0</v>
      </c>
      <c r="M242" s="19">
        <f ca="1">'2ERA SERVICIOS GENERALES'!K9</f>
        <v>0</v>
      </c>
      <c r="N242" s="19">
        <f ca="1">'2ERA SERVICIOS GENERALES'!L9</f>
        <v>0</v>
      </c>
      <c r="O242" s="19">
        <f ca="1">'2ERA SERVICIOS GENERALES'!M9</f>
        <v>0</v>
      </c>
      <c r="P242" s="19">
        <f ca="1">'2ERA SERVICIOS GENERALES'!N9</f>
        <v>0</v>
      </c>
      <c r="Q242" s="19">
        <f ca="1">'2ERA SERVICIOS GENERALES'!O9</f>
        <v>0</v>
      </c>
      <c r="R242" s="19">
        <f ca="1">'2ERA SERVICIOS GENERALES'!P9</f>
        <v>0</v>
      </c>
      <c r="S242" s="19">
        <f ca="1">'2ERA SERVICIOS GENERALES'!Q9</f>
        <v>0</v>
      </c>
      <c r="T242" s="19">
        <f ca="1">'2ERA SERVICIOS GENERALES'!R9</f>
        <v>0</v>
      </c>
      <c r="U242" s="21">
        <f ca="1">'2ERA SERVICIOS GENERALES'!S9</f>
        <v>56</v>
      </c>
    </row>
    <row r="243" spans="1:21" ht="39.75" customHeight="1">
      <c r="A243" s="53"/>
      <c r="B243" s="53"/>
      <c r="C243" s="12" t="str">
        <f ca="1">'1ERA SERVICIOS GENERALES'!A10</f>
        <v>CAPTURA DE LECTURAS DE AGUA POTABLE</v>
      </c>
      <c r="D243" s="8">
        <v>173807</v>
      </c>
      <c r="E243" s="8" t="s">
        <v>297</v>
      </c>
      <c r="F243" s="8" t="s">
        <v>286</v>
      </c>
      <c r="G243" s="8" t="s">
        <v>292</v>
      </c>
      <c r="H243" s="18">
        <f ca="1">'2ERA SERVICIOS GENERALES'!F10</f>
        <v>0</v>
      </c>
      <c r="I243" s="19">
        <f ca="1">'2ERA SERVICIOS GENERALES'!G10</f>
        <v>15169</v>
      </c>
      <c r="J243" s="19">
        <f ca="1">'2ERA SERVICIOS GENERALES'!H10</f>
        <v>15189</v>
      </c>
      <c r="K243" s="19">
        <f ca="1">'2ERA SERVICIOS GENERALES'!I10</f>
        <v>0</v>
      </c>
      <c r="L243" s="19">
        <f ca="1">'2ERA SERVICIOS GENERALES'!J10</f>
        <v>0</v>
      </c>
      <c r="M243" s="19">
        <f ca="1">'2ERA SERVICIOS GENERALES'!K10</f>
        <v>0</v>
      </c>
      <c r="N243" s="19">
        <f ca="1">'2ERA SERVICIOS GENERALES'!L10</f>
        <v>0</v>
      </c>
      <c r="O243" s="19">
        <f ca="1">'2ERA SERVICIOS GENERALES'!M10</f>
        <v>0</v>
      </c>
      <c r="P243" s="19">
        <f ca="1">'2ERA SERVICIOS GENERALES'!N10</f>
        <v>0</v>
      </c>
      <c r="Q243" s="19">
        <f ca="1">'2ERA SERVICIOS GENERALES'!O10</f>
        <v>0</v>
      </c>
      <c r="R243" s="19">
        <f ca="1">'2ERA SERVICIOS GENERALES'!P10</f>
        <v>0</v>
      </c>
      <c r="S243" s="19">
        <f ca="1">'2ERA SERVICIOS GENERALES'!Q10</f>
        <v>0</v>
      </c>
      <c r="T243" s="19">
        <f ca="1">'2ERA SERVICIOS GENERALES'!R10</f>
        <v>0</v>
      </c>
      <c r="U243" s="21">
        <f ca="1">'2ERA SERVICIOS GENERALES'!S10</f>
        <v>30358</v>
      </c>
    </row>
    <row r="244" spans="1:21" ht="39.75" customHeight="1">
      <c r="A244" s="53"/>
      <c r="B244" s="53"/>
      <c r="C244" s="12" t="str">
        <f ca="1">'1ERA SERVICIOS GENERALES'!A11</f>
        <v>SOLICITUDES DE PIPAS</v>
      </c>
      <c r="D244" s="8">
        <v>1039</v>
      </c>
      <c r="E244" s="8" t="s">
        <v>298</v>
      </c>
      <c r="F244" s="8" t="s">
        <v>286</v>
      </c>
      <c r="G244" s="8" t="s">
        <v>292</v>
      </c>
      <c r="H244" s="18">
        <f ca="1">'2ERA SERVICIOS GENERALES'!F11</f>
        <v>0</v>
      </c>
      <c r="I244" s="19">
        <f ca="1">'2ERA SERVICIOS GENERALES'!G11</f>
        <v>29</v>
      </c>
      <c r="J244" s="19">
        <f ca="1">'2ERA SERVICIOS GENERALES'!H11</f>
        <v>20</v>
      </c>
      <c r="K244" s="19">
        <f ca="1">'2ERA SERVICIOS GENERALES'!I11</f>
        <v>0</v>
      </c>
      <c r="L244" s="19">
        <f ca="1">'2ERA SERVICIOS GENERALES'!J11</f>
        <v>0</v>
      </c>
      <c r="M244" s="19">
        <f ca="1">'2ERA SERVICIOS GENERALES'!K11</f>
        <v>0</v>
      </c>
      <c r="N244" s="19">
        <f ca="1">'2ERA SERVICIOS GENERALES'!L11</f>
        <v>0</v>
      </c>
      <c r="O244" s="19">
        <f ca="1">'2ERA SERVICIOS GENERALES'!M11</f>
        <v>0</v>
      </c>
      <c r="P244" s="19">
        <f ca="1">'2ERA SERVICIOS GENERALES'!N11</f>
        <v>0</v>
      </c>
      <c r="Q244" s="19">
        <f ca="1">'2ERA SERVICIOS GENERALES'!O11</f>
        <v>0</v>
      </c>
      <c r="R244" s="19">
        <f ca="1">'2ERA SERVICIOS GENERALES'!P11</f>
        <v>0</v>
      </c>
      <c r="S244" s="19">
        <f ca="1">'2ERA SERVICIOS GENERALES'!Q11</f>
        <v>0</v>
      </c>
      <c r="T244" s="19">
        <f ca="1">'2ERA SERVICIOS GENERALES'!R11</f>
        <v>0</v>
      </c>
      <c r="U244" s="21">
        <f ca="1">'2ERA SERVICIOS GENERALES'!S11</f>
        <v>49</v>
      </c>
    </row>
    <row r="245" spans="1:21" ht="39.75" customHeight="1">
      <c r="A245" s="53"/>
      <c r="B245" s="53"/>
      <c r="C245" s="12" t="str">
        <f ca="1">'1ERA SERVICIOS GENERALES'!A12</f>
        <v>PIPAS ENTREGADAS</v>
      </c>
      <c r="D245" s="8">
        <v>1097</v>
      </c>
      <c r="E245" s="8" t="s">
        <v>299</v>
      </c>
      <c r="F245" s="8" t="s">
        <v>286</v>
      </c>
      <c r="G245" s="8" t="s">
        <v>292</v>
      </c>
      <c r="H245" s="18">
        <f ca="1">'2ERA SERVICIOS GENERALES'!F12</f>
        <v>0</v>
      </c>
      <c r="I245" s="19">
        <f ca="1">'2ERA SERVICIOS GENERALES'!G12</f>
        <v>29</v>
      </c>
      <c r="J245" s="19">
        <f ca="1">'2ERA SERVICIOS GENERALES'!H12</f>
        <v>20</v>
      </c>
      <c r="K245" s="19">
        <f ca="1">'2ERA SERVICIOS GENERALES'!I12</f>
        <v>0</v>
      </c>
      <c r="L245" s="19">
        <f ca="1">'2ERA SERVICIOS GENERALES'!J12</f>
        <v>0</v>
      </c>
      <c r="M245" s="19">
        <f ca="1">'2ERA SERVICIOS GENERALES'!K12</f>
        <v>0</v>
      </c>
      <c r="N245" s="19">
        <f ca="1">'2ERA SERVICIOS GENERALES'!L12</f>
        <v>0</v>
      </c>
      <c r="O245" s="19">
        <f ca="1">'2ERA SERVICIOS GENERALES'!M12</f>
        <v>0</v>
      </c>
      <c r="P245" s="19">
        <f ca="1">'2ERA SERVICIOS GENERALES'!N12</f>
        <v>0</v>
      </c>
      <c r="Q245" s="19">
        <f ca="1">'2ERA SERVICIOS GENERALES'!O12</f>
        <v>0</v>
      </c>
      <c r="R245" s="19">
        <f ca="1">'2ERA SERVICIOS GENERALES'!P12</f>
        <v>0</v>
      </c>
      <c r="S245" s="19">
        <f ca="1">'2ERA SERVICIOS GENERALES'!Q12</f>
        <v>0</v>
      </c>
      <c r="T245" s="19">
        <f ca="1">'2ERA SERVICIOS GENERALES'!R12</f>
        <v>0</v>
      </c>
      <c r="U245" s="21">
        <f ca="1">'2ERA SERVICIOS GENERALES'!S12</f>
        <v>49</v>
      </c>
    </row>
    <row r="246" spans="1:21" ht="39.75" customHeight="1">
      <c r="A246" s="53"/>
      <c r="B246" s="53"/>
      <c r="C246" s="12" t="str">
        <f ca="1">'1ERA SERVICIOS GENERALES'!A13</f>
        <v>CERTIFICADOS DE NO ADEUDO</v>
      </c>
      <c r="D246" s="8">
        <v>75</v>
      </c>
      <c r="E246" s="8" t="s">
        <v>300</v>
      </c>
      <c r="F246" s="8" t="s">
        <v>286</v>
      </c>
      <c r="G246" s="8" t="s">
        <v>292</v>
      </c>
      <c r="H246" s="18">
        <f ca="1">'2ERA SERVICIOS GENERALES'!F13</f>
        <v>0</v>
      </c>
      <c r="I246" s="19">
        <f ca="1">'2ERA SERVICIOS GENERALES'!G13</f>
        <v>2</v>
      </c>
      <c r="J246" s="19">
        <f ca="1">'2ERA SERVICIOS GENERALES'!H13</f>
        <v>0</v>
      </c>
      <c r="K246" s="19">
        <f ca="1">'2ERA SERVICIOS GENERALES'!I13</f>
        <v>0</v>
      </c>
      <c r="L246" s="19">
        <f ca="1">'2ERA SERVICIOS GENERALES'!J13</f>
        <v>0</v>
      </c>
      <c r="M246" s="19">
        <f ca="1">'2ERA SERVICIOS GENERALES'!K13</f>
        <v>0</v>
      </c>
      <c r="N246" s="19">
        <f ca="1">'2ERA SERVICIOS GENERALES'!L13</f>
        <v>0</v>
      </c>
      <c r="O246" s="19">
        <f ca="1">'2ERA SERVICIOS GENERALES'!M13</f>
        <v>0</v>
      </c>
      <c r="P246" s="19">
        <f ca="1">'2ERA SERVICIOS GENERALES'!N13</f>
        <v>0</v>
      </c>
      <c r="Q246" s="19">
        <f ca="1">'2ERA SERVICIOS GENERALES'!O13</f>
        <v>0</v>
      </c>
      <c r="R246" s="19">
        <f ca="1">'2ERA SERVICIOS GENERALES'!P13</f>
        <v>0</v>
      </c>
      <c r="S246" s="19">
        <f ca="1">'2ERA SERVICIOS GENERALES'!Q13</f>
        <v>0</v>
      </c>
      <c r="T246" s="19">
        <f ca="1">'2ERA SERVICIOS GENERALES'!R13</f>
        <v>0</v>
      </c>
      <c r="U246" s="21">
        <f ca="1">'2ERA SERVICIOS GENERALES'!S13</f>
        <v>2</v>
      </c>
    </row>
    <row r="247" spans="1:21" ht="39.75" customHeight="1">
      <c r="A247" s="53"/>
      <c r="B247" s="53"/>
      <c r="C247" s="12" t="str">
        <f ca="1">'1ERA SERVICIOS GENERALES'!A14</f>
        <v>SOLICITUDES DE VERIFICACIÓN DOMICILIARIA (EFICIENCIA DEL SERVICIO)</v>
      </c>
      <c r="D247" s="8">
        <v>208</v>
      </c>
      <c r="E247" s="8" t="s">
        <v>301</v>
      </c>
      <c r="F247" s="8" t="s">
        <v>286</v>
      </c>
      <c r="G247" s="8" t="s">
        <v>292</v>
      </c>
      <c r="H247" s="18">
        <f ca="1">'2ERA SERVICIOS GENERALES'!F14</f>
        <v>0</v>
      </c>
      <c r="I247" s="19">
        <f ca="1">'2ERA SERVICIOS GENERALES'!G14</f>
        <v>20</v>
      </c>
      <c r="J247" s="19">
        <f ca="1">'2ERA SERVICIOS GENERALES'!H14</f>
        <v>12</v>
      </c>
      <c r="K247" s="19">
        <f ca="1">'2ERA SERVICIOS GENERALES'!I14</f>
        <v>0</v>
      </c>
      <c r="L247" s="19">
        <f ca="1">'2ERA SERVICIOS GENERALES'!J14</f>
        <v>0</v>
      </c>
      <c r="M247" s="19">
        <f ca="1">'2ERA SERVICIOS GENERALES'!K14</f>
        <v>0</v>
      </c>
      <c r="N247" s="19">
        <f ca="1">'2ERA SERVICIOS GENERALES'!L14</f>
        <v>0</v>
      </c>
      <c r="O247" s="19">
        <f ca="1">'2ERA SERVICIOS GENERALES'!M14</f>
        <v>0</v>
      </c>
      <c r="P247" s="19">
        <f ca="1">'2ERA SERVICIOS GENERALES'!N14</f>
        <v>0</v>
      </c>
      <c r="Q247" s="19">
        <f ca="1">'2ERA SERVICIOS GENERALES'!O14</f>
        <v>0</v>
      </c>
      <c r="R247" s="19">
        <f ca="1">'2ERA SERVICIOS GENERALES'!P14</f>
        <v>0</v>
      </c>
      <c r="S247" s="19">
        <f ca="1">'2ERA SERVICIOS GENERALES'!Q14</f>
        <v>0</v>
      </c>
      <c r="T247" s="19">
        <f ca="1">'2ERA SERVICIOS GENERALES'!R14</f>
        <v>0</v>
      </c>
      <c r="U247" s="21">
        <f ca="1">'2ERA SERVICIOS GENERALES'!S14</f>
        <v>32</v>
      </c>
    </row>
    <row r="248" spans="1:21" ht="39.75" customHeight="1">
      <c r="A248" s="53"/>
      <c r="B248" s="53"/>
      <c r="C248" s="12" t="str">
        <f ca="1">'1ERA SERVICIOS GENERALES'!A15</f>
        <v>INEXISTENCIAS DE TOMAS</v>
      </c>
      <c r="D248" s="8">
        <v>940</v>
      </c>
      <c r="E248" s="8" t="s">
        <v>302</v>
      </c>
      <c r="F248" s="8" t="s">
        <v>286</v>
      </c>
      <c r="G248" s="8" t="s">
        <v>292</v>
      </c>
      <c r="H248" s="18">
        <f ca="1">'2ERA SERVICIOS GENERALES'!F15</f>
        <v>0</v>
      </c>
      <c r="I248" s="19">
        <f ca="1">'2ERA SERVICIOS GENERALES'!G15</f>
        <v>66</v>
      </c>
      <c r="J248" s="19">
        <f ca="1">'2ERA SERVICIOS GENERALES'!H15</f>
        <v>69</v>
      </c>
      <c r="K248" s="19">
        <f ca="1">'2ERA SERVICIOS GENERALES'!I15</f>
        <v>0</v>
      </c>
      <c r="L248" s="19">
        <f ca="1">'2ERA SERVICIOS GENERALES'!J15</f>
        <v>0</v>
      </c>
      <c r="M248" s="19">
        <f ca="1">'2ERA SERVICIOS GENERALES'!K15</f>
        <v>0</v>
      </c>
      <c r="N248" s="19">
        <f ca="1">'2ERA SERVICIOS GENERALES'!L15</f>
        <v>0</v>
      </c>
      <c r="O248" s="19">
        <f ca="1">'2ERA SERVICIOS GENERALES'!M15</f>
        <v>0</v>
      </c>
      <c r="P248" s="19">
        <f ca="1">'2ERA SERVICIOS GENERALES'!N15</f>
        <v>0</v>
      </c>
      <c r="Q248" s="19">
        <f ca="1">'2ERA SERVICIOS GENERALES'!O15</f>
        <v>0</v>
      </c>
      <c r="R248" s="19">
        <f ca="1">'2ERA SERVICIOS GENERALES'!P15</f>
        <v>0</v>
      </c>
      <c r="S248" s="19">
        <f ca="1">'2ERA SERVICIOS GENERALES'!Q15</f>
        <v>0</v>
      </c>
      <c r="T248" s="19">
        <f ca="1">'2ERA SERVICIOS GENERALES'!R15</f>
        <v>0</v>
      </c>
      <c r="U248" s="21">
        <f ca="1">'2ERA SERVICIOS GENERALES'!S15</f>
        <v>135</v>
      </c>
    </row>
    <row r="249" spans="1:21" ht="39.75" customHeight="1">
      <c r="A249" s="53"/>
      <c r="B249" s="53"/>
      <c r="C249" s="12" t="str">
        <f ca="1">'1ERA SERVICIOS GENERALES'!A16</f>
        <v>VERIFICACIÓN DE DRENAJE EN FRACCIONAMIENTOS NUEVOS</v>
      </c>
      <c r="D249" s="8">
        <v>13</v>
      </c>
      <c r="E249" s="8" t="s">
        <v>303</v>
      </c>
      <c r="F249" s="8" t="s">
        <v>286</v>
      </c>
      <c r="G249" s="8" t="s">
        <v>292</v>
      </c>
      <c r="H249" s="18">
        <f ca="1">'2ERA SERVICIOS GENERALES'!F16</f>
        <v>0</v>
      </c>
      <c r="I249" s="19">
        <f ca="1">'2ERA SERVICIOS GENERALES'!G16</f>
        <v>0</v>
      </c>
      <c r="J249" s="19">
        <f ca="1">'2ERA SERVICIOS GENERALES'!H16</f>
        <v>0</v>
      </c>
      <c r="K249" s="19">
        <f ca="1">'2ERA SERVICIOS GENERALES'!I16</f>
        <v>0</v>
      </c>
      <c r="L249" s="19">
        <f ca="1">'2ERA SERVICIOS GENERALES'!J16</f>
        <v>0</v>
      </c>
      <c r="M249" s="19">
        <f ca="1">'2ERA SERVICIOS GENERALES'!K16</f>
        <v>0</v>
      </c>
      <c r="N249" s="19">
        <f ca="1">'2ERA SERVICIOS GENERALES'!L16</f>
        <v>0</v>
      </c>
      <c r="O249" s="19">
        <f ca="1">'2ERA SERVICIOS GENERALES'!M16</f>
        <v>0</v>
      </c>
      <c r="P249" s="19">
        <f ca="1">'2ERA SERVICIOS GENERALES'!N16</f>
        <v>0</v>
      </c>
      <c r="Q249" s="19">
        <f ca="1">'2ERA SERVICIOS GENERALES'!O16</f>
        <v>0</v>
      </c>
      <c r="R249" s="19">
        <f ca="1">'2ERA SERVICIOS GENERALES'!P16</f>
        <v>0</v>
      </c>
      <c r="S249" s="19">
        <f ca="1">'2ERA SERVICIOS GENERALES'!Q16</f>
        <v>0</v>
      </c>
      <c r="T249" s="19">
        <f ca="1">'2ERA SERVICIOS GENERALES'!R16</f>
        <v>0</v>
      </c>
      <c r="U249" s="21">
        <f ca="1">'2ERA SERVICIOS GENERALES'!S16</f>
        <v>0</v>
      </c>
    </row>
    <row r="250" spans="1:21" ht="39.75" customHeight="1">
      <c r="A250" s="53"/>
      <c r="B250" s="53"/>
      <c r="C250" s="12" t="str">
        <f ca="1">'1ERA SERVICIOS GENERALES'!A17</f>
        <v>HABILITACIÓN DE REDES NUEVAS DE AGUA POTABLE</v>
      </c>
      <c r="D250" s="8">
        <v>53</v>
      </c>
      <c r="E250" s="8" t="s">
        <v>304</v>
      </c>
      <c r="F250" s="8" t="s">
        <v>286</v>
      </c>
      <c r="G250" s="8" t="s">
        <v>292</v>
      </c>
      <c r="H250" s="18">
        <f ca="1">'2ERA SERVICIOS GENERALES'!F17</f>
        <v>0</v>
      </c>
      <c r="I250" s="19">
        <f ca="1">'2ERA SERVICIOS GENERALES'!G17</f>
        <v>1</v>
      </c>
      <c r="J250" s="19">
        <f ca="1">'2ERA SERVICIOS GENERALES'!H17</f>
        <v>2</v>
      </c>
      <c r="K250" s="19">
        <f ca="1">'2ERA SERVICIOS GENERALES'!I17</f>
        <v>0</v>
      </c>
      <c r="L250" s="19">
        <f ca="1">'2ERA SERVICIOS GENERALES'!J17</f>
        <v>0</v>
      </c>
      <c r="M250" s="19">
        <f ca="1">'2ERA SERVICIOS GENERALES'!K17</f>
        <v>0</v>
      </c>
      <c r="N250" s="19">
        <f ca="1">'2ERA SERVICIOS GENERALES'!L17</f>
        <v>0</v>
      </c>
      <c r="O250" s="19">
        <f ca="1">'2ERA SERVICIOS GENERALES'!M17</f>
        <v>0</v>
      </c>
      <c r="P250" s="19">
        <f ca="1">'2ERA SERVICIOS GENERALES'!N17</f>
        <v>0</v>
      </c>
      <c r="Q250" s="19">
        <f ca="1">'2ERA SERVICIOS GENERALES'!O17</f>
        <v>0</v>
      </c>
      <c r="R250" s="19">
        <f ca="1">'2ERA SERVICIOS GENERALES'!P17</f>
        <v>0</v>
      </c>
      <c r="S250" s="19">
        <f ca="1">'2ERA SERVICIOS GENERALES'!Q17</f>
        <v>0</v>
      </c>
      <c r="T250" s="19">
        <f ca="1">'2ERA SERVICIOS GENERALES'!R17</f>
        <v>0</v>
      </c>
      <c r="U250" s="21">
        <f ca="1">'2ERA SERVICIOS GENERALES'!S17</f>
        <v>3</v>
      </c>
    </row>
    <row r="251" spans="1:21" ht="39.75" customHeight="1">
      <c r="A251" s="53"/>
      <c r="B251" s="53"/>
      <c r="C251" s="12" t="str">
        <f ca="1">'1ERA SERVICIOS GENERALES'!A18</f>
        <v>INSTALACIÓN Y REHABILITACIÓN DE SANITARIOS</v>
      </c>
      <c r="D251" s="8">
        <v>15</v>
      </c>
      <c r="E251" s="8" t="s">
        <v>305</v>
      </c>
      <c r="F251" s="8" t="s">
        <v>286</v>
      </c>
      <c r="G251" s="8" t="s">
        <v>292</v>
      </c>
      <c r="H251" s="18">
        <f ca="1">'2ERA SERVICIOS GENERALES'!F18</f>
        <v>0</v>
      </c>
      <c r="I251" s="19">
        <f ca="1">'2ERA SERVICIOS GENERALES'!G18</f>
        <v>0</v>
      </c>
      <c r="J251" s="19">
        <f ca="1">'2ERA SERVICIOS GENERALES'!H18</f>
        <v>0</v>
      </c>
      <c r="K251" s="19">
        <f ca="1">'2ERA SERVICIOS GENERALES'!I18</f>
        <v>0</v>
      </c>
      <c r="L251" s="19">
        <f ca="1">'2ERA SERVICIOS GENERALES'!J18</f>
        <v>0</v>
      </c>
      <c r="M251" s="19">
        <f ca="1">'2ERA SERVICIOS GENERALES'!K18</f>
        <v>0</v>
      </c>
      <c r="N251" s="19">
        <f ca="1">'2ERA SERVICIOS GENERALES'!L18</f>
        <v>0</v>
      </c>
      <c r="O251" s="19">
        <f ca="1">'2ERA SERVICIOS GENERALES'!M18</f>
        <v>0</v>
      </c>
      <c r="P251" s="19">
        <f ca="1">'2ERA SERVICIOS GENERALES'!N18</f>
        <v>0</v>
      </c>
      <c r="Q251" s="19">
        <f ca="1">'2ERA SERVICIOS GENERALES'!O18</f>
        <v>0</v>
      </c>
      <c r="R251" s="19">
        <f ca="1">'2ERA SERVICIOS GENERALES'!P18</f>
        <v>0</v>
      </c>
      <c r="S251" s="19">
        <f ca="1">'2ERA SERVICIOS GENERALES'!Q18</f>
        <v>0</v>
      </c>
      <c r="T251" s="19">
        <f ca="1">'2ERA SERVICIOS GENERALES'!R18</f>
        <v>0</v>
      </c>
      <c r="U251" s="21">
        <f ca="1">'2ERA SERVICIOS GENERALES'!S18</f>
        <v>0</v>
      </c>
    </row>
    <row r="252" spans="1:21" ht="39.75" customHeight="1">
      <c r="A252" s="53"/>
      <c r="B252" s="53"/>
      <c r="C252" s="12" t="str">
        <f ca="1">'1ERA SERVICIOS GENERALES'!A19</f>
        <v>MANTENIMIENTO A BOMBAS DE AGUA</v>
      </c>
      <c r="D252" s="8">
        <v>50</v>
      </c>
      <c r="E252" s="8" t="s">
        <v>306</v>
      </c>
      <c r="F252" s="8" t="s">
        <v>286</v>
      </c>
      <c r="G252" s="8" t="s">
        <v>292</v>
      </c>
      <c r="H252" s="18">
        <f ca="1">'2ERA SERVICIOS GENERALES'!F19</f>
        <v>0</v>
      </c>
      <c r="I252" s="19">
        <f ca="1">'2ERA SERVICIOS GENERALES'!G19</f>
        <v>5</v>
      </c>
      <c r="J252" s="19">
        <f ca="1">'2ERA SERVICIOS GENERALES'!H19</f>
        <v>2</v>
      </c>
      <c r="K252" s="19">
        <f ca="1">'2ERA SERVICIOS GENERALES'!I19</f>
        <v>0</v>
      </c>
      <c r="L252" s="19">
        <f ca="1">'2ERA SERVICIOS GENERALES'!J19</f>
        <v>0</v>
      </c>
      <c r="M252" s="19">
        <f ca="1">'2ERA SERVICIOS GENERALES'!K19</f>
        <v>0</v>
      </c>
      <c r="N252" s="19">
        <f ca="1">'2ERA SERVICIOS GENERALES'!L19</f>
        <v>0</v>
      </c>
      <c r="O252" s="19">
        <f ca="1">'2ERA SERVICIOS GENERALES'!M19</f>
        <v>0</v>
      </c>
      <c r="P252" s="19">
        <f ca="1">'2ERA SERVICIOS GENERALES'!N19</f>
        <v>0</v>
      </c>
      <c r="Q252" s="19">
        <f ca="1">'2ERA SERVICIOS GENERALES'!O19</f>
        <v>0</v>
      </c>
      <c r="R252" s="19">
        <f ca="1">'2ERA SERVICIOS GENERALES'!P19</f>
        <v>0</v>
      </c>
      <c r="S252" s="19">
        <f ca="1">'2ERA SERVICIOS GENERALES'!Q19</f>
        <v>0</v>
      </c>
      <c r="T252" s="19">
        <f ca="1">'2ERA SERVICIOS GENERALES'!R19</f>
        <v>0</v>
      </c>
      <c r="U252" s="21">
        <f ca="1">'2ERA SERVICIOS GENERALES'!S19</f>
        <v>7</v>
      </c>
    </row>
    <row r="253" spans="1:21" ht="39.75" customHeight="1">
      <c r="A253" s="53"/>
      <c r="B253" s="53"/>
      <c r="C253" s="12" t="str">
        <f ca="1">'1ERA SERVICIOS GENERALES'!A20</f>
        <v>REPARACION DE FUGAS DE DRENAJE</v>
      </c>
      <c r="D253" s="8">
        <v>13</v>
      </c>
      <c r="E253" s="8" t="s">
        <v>307</v>
      </c>
      <c r="F253" s="8" t="s">
        <v>286</v>
      </c>
      <c r="G253" s="8" t="s">
        <v>292</v>
      </c>
      <c r="H253" s="18">
        <f ca="1">'2ERA SERVICIOS GENERALES'!F20</f>
        <v>0</v>
      </c>
      <c r="I253" s="19">
        <f ca="1">'2ERA SERVICIOS GENERALES'!G20</f>
        <v>0</v>
      </c>
      <c r="J253" s="19">
        <f ca="1">'2ERA SERVICIOS GENERALES'!H20</f>
        <v>0</v>
      </c>
      <c r="K253" s="19">
        <f ca="1">'2ERA SERVICIOS GENERALES'!I20</f>
        <v>0</v>
      </c>
      <c r="L253" s="19">
        <f ca="1">'2ERA SERVICIOS GENERALES'!J20</f>
        <v>0</v>
      </c>
      <c r="M253" s="19">
        <f ca="1">'2ERA SERVICIOS GENERALES'!K20</f>
        <v>0</v>
      </c>
      <c r="N253" s="19">
        <f ca="1">'2ERA SERVICIOS GENERALES'!L20</f>
        <v>0</v>
      </c>
      <c r="O253" s="19">
        <f ca="1">'2ERA SERVICIOS GENERALES'!M20</f>
        <v>0</v>
      </c>
      <c r="P253" s="19">
        <f ca="1">'2ERA SERVICIOS GENERALES'!N20</f>
        <v>0</v>
      </c>
      <c r="Q253" s="19">
        <f ca="1">'2ERA SERVICIOS GENERALES'!O20</f>
        <v>0</v>
      </c>
      <c r="R253" s="19">
        <f ca="1">'2ERA SERVICIOS GENERALES'!P20</f>
        <v>0</v>
      </c>
      <c r="S253" s="19">
        <f ca="1">'2ERA SERVICIOS GENERALES'!Q20</f>
        <v>0</v>
      </c>
      <c r="T253" s="19">
        <f ca="1">'2ERA SERVICIOS GENERALES'!R20</f>
        <v>0</v>
      </c>
      <c r="U253" s="21">
        <f ca="1">'2ERA SERVICIOS GENERALES'!S20</f>
        <v>0</v>
      </c>
    </row>
    <row r="254" spans="1:21" ht="39.75" customHeight="1">
      <c r="A254" s="53"/>
      <c r="B254" s="53"/>
      <c r="C254" s="12" t="str">
        <f ca="1">'1ERA SERVICIOS GENERALES'!A21</f>
        <v>LITROS EXTRAIDOS</v>
      </c>
      <c r="D254" s="8">
        <v>50</v>
      </c>
      <c r="E254" s="8" t="s">
        <v>308</v>
      </c>
      <c r="F254" s="8" t="s">
        <v>286</v>
      </c>
      <c r="G254" s="8" t="s">
        <v>292</v>
      </c>
      <c r="H254" s="18">
        <f ca="1">'2ERA SERVICIOS GENERALES'!F21</f>
        <v>0</v>
      </c>
      <c r="I254" s="19">
        <f ca="1">'2ERA SERVICIOS GENERALES'!G21</f>
        <v>5</v>
      </c>
      <c r="J254" s="19">
        <f ca="1">'2ERA SERVICIOS GENERALES'!H21</f>
        <v>2</v>
      </c>
      <c r="K254" s="19">
        <f ca="1">'2ERA SERVICIOS GENERALES'!I21</f>
        <v>0</v>
      </c>
      <c r="L254" s="19">
        <f ca="1">'2ERA SERVICIOS GENERALES'!J21</f>
        <v>0</v>
      </c>
      <c r="M254" s="19">
        <f ca="1">'2ERA SERVICIOS GENERALES'!K21</f>
        <v>0</v>
      </c>
      <c r="N254" s="19">
        <f ca="1">'2ERA SERVICIOS GENERALES'!L21</f>
        <v>0</v>
      </c>
      <c r="O254" s="19">
        <f ca="1">'2ERA SERVICIOS GENERALES'!M21</f>
        <v>0</v>
      </c>
      <c r="P254" s="19">
        <f ca="1">'2ERA SERVICIOS GENERALES'!N21</f>
        <v>0</v>
      </c>
      <c r="Q254" s="19">
        <f ca="1">'2ERA SERVICIOS GENERALES'!O21</f>
        <v>0</v>
      </c>
      <c r="R254" s="19">
        <f ca="1">'2ERA SERVICIOS GENERALES'!P21</f>
        <v>0</v>
      </c>
      <c r="S254" s="19">
        <f ca="1">'2ERA SERVICIOS GENERALES'!Q21</f>
        <v>0</v>
      </c>
      <c r="T254" s="19">
        <f ca="1">'2ERA SERVICIOS GENERALES'!R21</f>
        <v>0</v>
      </c>
      <c r="U254" s="21">
        <f ca="1">'2ERA SERVICIOS GENERALES'!S21</f>
        <v>7</v>
      </c>
    </row>
    <row r="255" spans="1:21" ht="39.75" customHeight="1">
      <c r="A255" s="53"/>
      <c r="B255" s="53"/>
      <c r="C255" s="12" t="str">
        <f ca="1">'1ERA SERVICIOS GENERALES'!A22</f>
        <v>LITROS DE HIPOCLORITO DE SODIO EN POZOS</v>
      </c>
      <c r="D255" s="8">
        <v>1286195</v>
      </c>
      <c r="E255" s="8" t="s">
        <v>309</v>
      </c>
      <c r="F255" s="8" t="s">
        <v>286</v>
      </c>
      <c r="G255" s="8" t="s">
        <v>292</v>
      </c>
      <c r="H255" s="18">
        <f ca="1">'2ERA SERVICIOS GENERALES'!F22</f>
        <v>0</v>
      </c>
      <c r="I255" s="19">
        <f ca="1">'2ERA SERVICIOS GENERALES'!G22</f>
        <v>95694</v>
      </c>
      <c r="J255" s="19">
        <f ca="1">'2ERA SERVICIOS GENERALES'!H22</f>
        <v>100068</v>
      </c>
      <c r="K255" s="19">
        <f ca="1">'2ERA SERVICIOS GENERALES'!I22</f>
        <v>0</v>
      </c>
      <c r="L255" s="19">
        <f ca="1">'2ERA SERVICIOS GENERALES'!J22</f>
        <v>0</v>
      </c>
      <c r="M255" s="19">
        <f ca="1">'2ERA SERVICIOS GENERALES'!K22</f>
        <v>0</v>
      </c>
      <c r="N255" s="19">
        <f ca="1">'2ERA SERVICIOS GENERALES'!L22</f>
        <v>0</v>
      </c>
      <c r="O255" s="19">
        <f ca="1">'2ERA SERVICIOS GENERALES'!M22</f>
        <v>0</v>
      </c>
      <c r="P255" s="19">
        <f ca="1">'2ERA SERVICIOS GENERALES'!N22</f>
        <v>0</v>
      </c>
      <c r="Q255" s="19">
        <f ca="1">'2ERA SERVICIOS GENERALES'!O22</f>
        <v>0</v>
      </c>
      <c r="R255" s="19">
        <f ca="1">'2ERA SERVICIOS GENERALES'!P22</f>
        <v>0</v>
      </c>
      <c r="S255" s="19">
        <f ca="1">'2ERA SERVICIOS GENERALES'!Q22</f>
        <v>0</v>
      </c>
      <c r="T255" s="19">
        <f ca="1">'2ERA SERVICIOS GENERALES'!R22</f>
        <v>0</v>
      </c>
      <c r="U255" s="21">
        <f ca="1">'2ERA SERVICIOS GENERALES'!S22</f>
        <v>195762</v>
      </c>
    </row>
    <row r="256" spans="1:21" ht="39.75" customHeight="1">
      <c r="A256" s="53"/>
      <c r="B256" s="53"/>
      <c r="C256" s="12" t="str">
        <f ca="1">'1ERA SERVICIOS GENERALES'!A23</f>
        <v>MANTENIMIENTO A PLANTAS TRATADORAS</v>
      </c>
      <c r="D256" s="8">
        <v>113800</v>
      </c>
      <c r="E256" s="8" t="s">
        <v>310</v>
      </c>
      <c r="F256" s="8" t="s">
        <v>286</v>
      </c>
      <c r="G256" s="8" t="s">
        <v>292</v>
      </c>
      <c r="H256" s="18">
        <f ca="1">'2ERA SERVICIOS GENERALES'!F23</f>
        <v>0</v>
      </c>
      <c r="I256" s="19">
        <f ca="1">'2ERA SERVICIOS GENERALES'!G23</f>
        <v>10000</v>
      </c>
      <c r="J256" s="19">
        <f ca="1">'2ERA SERVICIOS GENERALES'!H23</f>
        <v>15250</v>
      </c>
      <c r="K256" s="19">
        <f ca="1">'2ERA SERVICIOS GENERALES'!I23</f>
        <v>0</v>
      </c>
      <c r="L256" s="19">
        <f ca="1">'2ERA SERVICIOS GENERALES'!J23</f>
        <v>0</v>
      </c>
      <c r="M256" s="19">
        <f ca="1">'2ERA SERVICIOS GENERALES'!K23</f>
        <v>0</v>
      </c>
      <c r="N256" s="19">
        <f ca="1">'2ERA SERVICIOS GENERALES'!L23</f>
        <v>0</v>
      </c>
      <c r="O256" s="19">
        <f ca="1">'2ERA SERVICIOS GENERALES'!M23</f>
        <v>0</v>
      </c>
      <c r="P256" s="19">
        <f ca="1">'2ERA SERVICIOS GENERALES'!N23</f>
        <v>0</v>
      </c>
      <c r="Q256" s="19">
        <f ca="1">'2ERA SERVICIOS GENERALES'!O23</f>
        <v>0</v>
      </c>
      <c r="R256" s="19">
        <f ca="1">'2ERA SERVICIOS GENERALES'!P23</f>
        <v>0</v>
      </c>
      <c r="S256" s="19">
        <f ca="1">'2ERA SERVICIOS GENERALES'!Q23</f>
        <v>0</v>
      </c>
      <c r="T256" s="19">
        <f ca="1">'2ERA SERVICIOS GENERALES'!R23</f>
        <v>0</v>
      </c>
      <c r="U256" s="21">
        <f ca="1">'2ERA SERVICIOS GENERALES'!S23</f>
        <v>25250</v>
      </c>
    </row>
    <row r="257" spans="1:21" ht="39.75" customHeight="1">
      <c r="A257" s="53"/>
      <c r="B257" s="53"/>
      <c r="C257" s="12" t="str">
        <f ca="1">'1ERA SERVICIOS GENERALES'!A24</f>
        <v>ACTIVIDADES EXTRAS (APOYO A EVENTOS, MANTENIMIENTO HÍDRICO DE EDIFICIOS PÚBLICOS)</v>
      </c>
      <c r="D257" s="8">
        <v>2729</v>
      </c>
      <c r="E257" s="8" t="s">
        <v>311</v>
      </c>
      <c r="F257" s="8" t="s">
        <v>286</v>
      </c>
      <c r="G257" s="8" t="s">
        <v>292</v>
      </c>
      <c r="H257" s="18">
        <f ca="1">'2ERA SERVICIOS GENERALES'!F24</f>
        <v>0</v>
      </c>
      <c r="I257" s="19">
        <f ca="1">'2ERA SERVICIOS GENERALES'!G24</f>
        <v>381</v>
      </c>
      <c r="J257" s="19">
        <f ca="1">'2ERA SERVICIOS GENERALES'!H24</f>
        <v>352</v>
      </c>
      <c r="K257" s="19">
        <f ca="1">'2ERA SERVICIOS GENERALES'!I24</f>
        <v>0</v>
      </c>
      <c r="L257" s="19">
        <f ca="1">'2ERA SERVICIOS GENERALES'!J24</f>
        <v>0</v>
      </c>
      <c r="M257" s="19">
        <f ca="1">'2ERA SERVICIOS GENERALES'!K24</f>
        <v>0</v>
      </c>
      <c r="N257" s="19">
        <f ca="1">'2ERA SERVICIOS GENERALES'!L24</f>
        <v>0</v>
      </c>
      <c r="O257" s="19">
        <f ca="1">'2ERA SERVICIOS GENERALES'!M24</f>
        <v>0</v>
      </c>
      <c r="P257" s="19">
        <f ca="1">'2ERA SERVICIOS GENERALES'!N24</f>
        <v>0</v>
      </c>
      <c r="Q257" s="19">
        <f ca="1">'2ERA SERVICIOS GENERALES'!O24</f>
        <v>0</v>
      </c>
      <c r="R257" s="19">
        <f ca="1">'2ERA SERVICIOS GENERALES'!P24</f>
        <v>0</v>
      </c>
      <c r="S257" s="19">
        <f ca="1">'2ERA SERVICIOS GENERALES'!Q24</f>
        <v>0</v>
      </c>
      <c r="T257" s="19">
        <f ca="1">'2ERA SERVICIOS GENERALES'!R24</f>
        <v>0</v>
      </c>
      <c r="U257" s="21">
        <f ca="1">'2ERA SERVICIOS GENERALES'!S24</f>
        <v>733</v>
      </c>
    </row>
    <row r="258" spans="1:21" ht="39.75" customHeight="1">
      <c r="A258" s="53"/>
      <c r="B258" s="51"/>
      <c r="C258" s="12" t="str">
        <f ca="1">'1ERA SERVICIOS GENERALES'!A25</f>
        <v>ANALISIS FISICOQUÍMICOS</v>
      </c>
      <c r="D258" s="8">
        <v>14</v>
      </c>
      <c r="E258" s="8" t="s">
        <v>312</v>
      </c>
      <c r="F258" s="8" t="s">
        <v>286</v>
      </c>
      <c r="G258" s="8" t="s">
        <v>292</v>
      </c>
      <c r="H258" s="18">
        <f ca="1">'2ERA SERVICIOS GENERALES'!F25</f>
        <v>0</v>
      </c>
      <c r="I258" s="19">
        <f ca="1">'2ERA SERVICIOS GENERALES'!G25</f>
        <v>2</v>
      </c>
      <c r="J258" s="19">
        <f ca="1">'2ERA SERVICIOS GENERALES'!H25</f>
        <v>1</v>
      </c>
      <c r="K258" s="19">
        <f ca="1">'2ERA SERVICIOS GENERALES'!I25</f>
        <v>0</v>
      </c>
      <c r="L258" s="19">
        <f ca="1">'2ERA SERVICIOS GENERALES'!J25</f>
        <v>0</v>
      </c>
      <c r="M258" s="19">
        <f ca="1">'2ERA SERVICIOS GENERALES'!K25</f>
        <v>0</v>
      </c>
      <c r="N258" s="19">
        <f ca="1">'2ERA SERVICIOS GENERALES'!L25</f>
        <v>0</v>
      </c>
      <c r="O258" s="19">
        <f ca="1">'2ERA SERVICIOS GENERALES'!M25</f>
        <v>0</v>
      </c>
      <c r="P258" s="19">
        <f ca="1">'2ERA SERVICIOS GENERALES'!N25</f>
        <v>0</v>
      </c>
      <c r="Q258" s="19">
        <f ca="1">'2ERA SERVICIOS GENERALES'!O25</f>
        <v>0</v>
      </c>
      <c r="R258" s="19">
        <f ca="1">'2ERA SERVICIOS GENERALES'!P25</f>
        <v>0</v>
      </c>
      <c r="S258" s="19">
        <f ca="1">'2ERA SERVICIOS GENERALES'!Q25</f>
        <v>0</v>
      </c>
      <c r="T258" s="19">
        <f ca="1">'2ERA SERVICIOS GENERALES'!R25</f>
        <v>0</v>
      </c>
      <c r="U258" s="21">
        <f ca="1">'2ERA SERVICIOS GENERALES'!S25</f>
        <v>3</v>
      </c>
    </row>
    <row r="259" spans="1:21" ht="39.75" customHeight="1">
      <c r="A259" s="53"/>
      <c r="B259" s="52" t="s">
        <v>313</v>
      </c>
      <c r="C259" s="12" t="str">
        <f ca="1">'1ERA SERVICIOS GENERALES'!A26</f>
        <v>PODAS EN ESPACIOS PUBLICOS MUNICIPALES</v>
      </c>
      <c r="D259" s="8">
        <v>0</v>
      </c>
      <c r="E259" s="8" t="s">
        <v>314</v>
      </c>
      <c r="F259" s="8" t="s">
        <v>286</v>
      </c>
      <c r="G259" s="8" t="s">
        <v>292</v>
      </c>
      <c r="H259" s="18">
        <f ca="1">'2ERA SERVICIOS GENERALES'!F26</f>
        <v>0</v>
      </c>
      <c r="I259" s="19">
        <f ca="1">'2ERA SERVICIOS GENERALES'!G26</f>
        <v>0</v>
      </c>
      <c r="J259" s="19">
        <f ca="1">'2ERA SERVICIOS GENERALES'!H26</f>
        <v>0</v>
      </c>
      <c r="K259" s="19">
        <f ca="1">'2ERA SERVICIOS GENERALES'!I26</f>
        <v>0</v>
      </c>
      <c r="L259" s="19">
        <f ca="1">'2ERA SERVICIOS GENERALES'!J26</f>
        <v>0</v>
      </c>
      <c r="M259" s="19">
        <f ca="1">'2ERA SERVICIOS GENERALES'!K26</f>
        <v>0</v>
      </c>
      <c r="N259" s="19">
        <f ca="1">'2ERA SERVICIOS GENERALES'!L26</f>
        <v>0</v>
      </c>
      <c r="O259" s="19">
        <f ca="1">'2ERA SERVICIOS GENERALES'!M26</f>
        <v>0</v>
      </c>
      <c r="P259" s="19">
        <f ca="1">'2ERA SERVICIOS GENERALES'!N26</f>
        <v>0</v>
      </c>
      <c r="Q259" s="19">
        <f ca="1">'2ERA SERVICIOS GENERALES'!O26</f>
        <v>0</v>
      </c>
      <c r="R259" s="19">
        <f ca="1">'2ERA SERVICIOS GENERALES'!P26</f>
        <v>0</v>
      </c>
      <c r="S259" s="19">
        <f ca="1">'2ERA SERVICIOS GENERALES'!Q26</f>
        <v>0</v>
      </c>
      <c r="T259" s="19">
        <f ca="1">'2ERA SERVICIOS GENERALES'!R26</f>
        <v>0</v>
      </c>
      <c r="U259" s="21">
        <f ca="1">'2ERA SERVICIOS GENERALES'!S26</f>
        <v>0</v>
      </c>
    </row>
    <row r="260" spans="1:21" ht="39.75" customHeight="1">
      <c r="A260" s="53"/>
      <c r="B260" s="53"/>
      <c r="C260" s="12" t="str">
        <f ca="1">'1ERA SERVICIOS GENERALES'!A27</f>
        <v>PODAS EN CARRETERAS Y CAMINOS</v>
      </c>
      <c r="D260" s="8">
        <v>418</v>
      </c>
      <c r="E260" s="8" t="s">
        <v>315</v>
      </c>
      <c r="F260" s="8" t="s">
        <v>286</v>
      </c>
      <c r="G260" s="8" t="s">
        <v>292</v>
      </c>
      <c r="H260" s="18">
        <f ca="1">'2ERA SERVICIOS GENERALES'!F27</f>
        <v>0</v>
      </c>
      <c r="I260" s="19">
        <f ca="1">'2ERA SERVICIOS GENERALES'!G27</f>
        <v>13</v>
      </c>
      <c r="J260" s="19">
        <f ca="1">'2ERA SERVICIOS GENERALES'!H27</f>
        <v>9</v>
      </c>
      <c r="K260" s="19">
        <f ca="1">'2ERA SERVICIOS GENERALES'!I27</f>
        <v>0</v>
      </c>
      <c r="L260" s="19">
        <f ca="1">'2ERA SERVICIOS GENERALES'!J27</f>
        <v>0</v>
      </c>
      <c r="M260" s="19">
        <f ca="1">'2ERA SERVICIOS GENERALES'!K27</f>
        <v>0</v>
      </c>
      <c r="N260" s="19">
        <f ca="1">'2ERA SERVICIOS GENERALES'!L27</f>
        <v>0</v>
      </c>
      <c r="O260" s="19">
        <f ca="1">'2ERA SERVICIOS GENERALES'!M27</f>
        <v>0</v>
      </c>
      <c r="P260" s="19">
        <f ca="1">'2ERA SERVICIOS GENERALES'!N27</f>
        <v>0</v>
      </c>
      <c r="Q260" s="19">
        <f ca="1">'2ERA SERVICIOS GENERALES'!O27</f>
        <v>0</v>
      </c>
      <c r="R260" s="19">
        <f ca="1">'2ERA SERVICIOS GENERALES'!P27</f>
        <v>0</v>
      </c>
      <c r="S260" s="19">
        <f ca="1">'2ERA SERVICIOS GENERALES'!Q27</f>
        <v>0</v>
      </c>
      <c r="T260" s="19">
        <f ca="1">'2ERA SERVICIOS GENERALES'!R27</f>
        <v>0</v>
      </c>
      <c r="U260" s="21">
        <f ca="1">'2ERA SERVICIOS GENERALES'!S27</f>
        <v>22</v>
      </c>
    </row>
    <row r="261" spans="1:21" ht="39.75" customHeight="1">
      <c r="A261" s="53"/>
      <c r="B261" s="53"/>
      <c r="C261" s="12" t="str">
        <f ca="1">'1ERA SERVICIOS GENERALES'!A28</f>
        <v>PODAS EN CAMELLONES Y BANQUETAS DE CALLES</v>
      </c>
      <c r="D261" s="8">
        <v>415</v>
      </c>
      <c r="E261" s="8" t="s">
        <v>316</v>
      </c>
      <c r="F261" s="8" t="s">
        <v>286</v>
      </c>
      <c r="G261" s="8" t="s">
        <v>292</v>
      </c>
      <c r="H261" s="18">
        <f ca="1">'2ERA SERVICIOS GENERALES'!F28</f>
        <v>0</v>
      </c>
      <c r="I261" s="19">
        <f ca="1">'2ERA SERVICIOS GENERALES'!G28</f>
        <v>20</v>
      </c>
      <c r="J261" s="19">
        <f ca="1">'2ERA SERVICIOS GENERALES'!H28</f>
        <v>22</v>
      </c>
      <c r="K261" s="19">
        <f ca="1">'2ERA SERVICIOS GENERALES'!I28</f>
        <v>0</v>
      </c>
      <c r="L261" s="19">
        <f ca="1">'2ERA SERVICIOS GENERALES'!J28</f>
        <v>0</v>
      </c>
      <c r="M261" s="19">
        <f ca="1">'2ERA SERVICIOS GENERALES'!K28</f>
        <v>0</v>
      </c>
      <c r="N261" s="19">
        <f ca="1">'2ERA SERVICIOS GENERALES'!L28</f>
        <v>0</v>
      </c>
      <c r="O261" s="19">
        <f ca="1">'2ERA SERVICIOS GENERALES'!M28</f>
        <v>0</v>
      </c>
      <c r="P261" s="19">
        <f ca="1">'2ERA SERVICIOS GENERALES'!N28</f>
        <v>0</v>
      </c>
      <c r="Q261" s="19">
        <f ca="1">'2ERA SERVICIOS GENERALES'!O28</f>
        <v>0</v>
      </c>
      <c r="R261" s="19">
        <f ca="1">'2ERA SERVICIOS GENERALES'!P28</f>
        <v>0</v>
      </c>
      <c r="S261" s="19">
        <f ca="1">'2ERA SERVICIOS GENERALES'!Q28</f>
        <v>0</v>
      </c>
      <c r="T261" s="19">
        <f ca="1">'2ERA SERVICIOS GENERALES'!R28</f>
        <v>0</v>
      </c>
      <c r="U261" s="21">
        <f ca="1">'2ERA SERVICIOS GENERALES'!S28</f>
        <v>42</v>
      </c>
    </row>
    <row r="262" spans="1:21" ht="39.75" customHeight="1">
      <c r="A262" s="53"/>
      <c r="B262" s="53"/>
      <c r="C262" s="12" t="str">
        <f ca="1">'1ERA SERVICIOS GENERALES'!A29</f>
        <v>PODAS EN UNIDADES DEPORTIVAS Y CAMPOS DE FÚTBOL</v>
      </c>
      <c r="D262" s="8">
        <v>466</v>
      </c>
      <c r="E262" s="8" t="s">
        <v>317</v>
      </c>
      <c r="F262" s="8" t="s">
        <v>286</v>
      </c>
      <c r="G262" s="8" t="s">
        <v>292</v>
      </c>
      <c r="H262" s="18">
        <f ca="1">'2ERA SERVICIOS GENERALES'!F29</f>
        <v>0</v>
      </c>
      <c r="I262" s="19">
        <f ca="1">'2ERA SERVICIOS GENERALES'!G29</f>
        <v>39</v>
      </c>
      <c r="J262" s="19">
        <f ca="1">'2ERA SERVICIOS GENERALES'!H29</f>
        <v>34</v>
      </c>
      <c r="K262" s="19">
        <f ca="1">'2ERA SERVICIOS GENERALES'!I29</f>
        <v>0</v>
      </c>
      <c r="L262" s="19">
        <f ca="1">'2ERA SERVICIOS GENERALES'!J29</f>
        <v>0</v>
      </c>
      <c r="M262" s="19">
        <f ca="1">'2ERA SERVICIOS GENERALES'!K29</f>
        <v>0</v>
      </c>
      <c r="N262" s="19">
        <f ca="1">'2ERA SERVICIOS GENERALES'!L29</f>
        <v>0</v>
      </c>
      <c r="O262" s="19">
        <f ca="1">'2ERA SERVICIOS GENERALES'!M29</f>
        <v>0</v>
      </c>
      <c r="P262" s="19">
        <f ca="1">'2ERA SERVICIOS GENERALES'!N29</f>
        <v>0</v>
      </c>
      <c r="Q262" s="19">
        <f ca="1">'2ERA SERVICIOS GENERALES'!O29</f>
        <v>0</v>
      </c>
      <c r="R262" s="19">
        <f ca="1">'2ERA SERVICIOS GENERALES'!P29</f>
        <v>0</v>
      </c>
      <c r="S262" s="19">
        <f ca="1">'2ERA SERVICIOS GENERALES'!Q29</f>
        <v>0</v>
      </c>
      <c r="T262" s="19">
        <f ca="1">'2ERA SERVICIOS GENERALES'!R29</f>
        <v>0</v>
      </c>
      <c r="U262" s="21">
        <f ca="1">'2ERA SERVICIOS GENERALES'!S29</f>
        <v>73</v>
      </c>
    </row>
    <row r="263" spans="1:21" ht="39.75" customHeight="1">
      <c r="A263" s="53"/>
      <c r="B263" s="53"/>
      <c r="C263" s="12" t="str">
        <f ca="1">'1ERA SERVICIOS GENERALES'!A30</f>
        <v>PODAS DE ÁRBOLES</v>
      </c>
      <c r="D263" s="8">
        <v>59</v>
      </c>
      <c r="E263" s="8" t="s">
        <v>318</v>
      </c>
      <c r="F263" s="8" t="s">
        <v>286</v>
      </c>
      <c r="G263" s="8" t="s">
        <v>292</v>
      </c>
      <c r="H263" s="18">
        <f ca="1">'2ERA SERVICIOS GENERALES'!F30</f>
        <v>0</v>
      </c>
      <c r="I263" s="19">
        <f ca="1">'2ERA SERVICIOS GENERALES'!G30</f>
        <v>1</v>
      </c>
      <c r="J263" s="19">
        <f ca="1">'2ERA SERVICIOS GENERALES'!H30</f>
        <v>1</v>
      </c>
      <c r="K263" s="19">
        <f ca="1">'2ERA SERVICIOS GENERALES'!I30</f>
        <v>0</v>
      </c>
      <c r="L263" s="19">
        <f ca="1">'2ERA SERVICIOS GENERALES'!J30</f>
        <v>0</v>
      </c>
      <c r="M263" s="19">
        <f ca="1">'2ERA SERVICIOS GENERALES'!K30</f>
        <v>0</v>
      </c>
      <c r="N263" s="19">
        <f ca="1">'2ERA SERVICIOS GENERALES'!L30</f>
        <v>0</v>
      </c>
      <c r="O263" s="19">
        <f ca="1">'2ERA SERVICIOS GENERALES'!M30</f>
        <v>0</v>
      </c>
      <c r="P263" s="19">
        <f ca="1">'2ERA SERVICIOS GENERALES'!N30</f>
        <v>0</v>
      </c>
      <c r="Q263" s="19">
        <f ca="1">'2ERA SERVICIOS GENERALES'!O30</f>
        <v>0</v>
      </c>
      <c r="R263" s="19">
        <f ca="1">'2ERA SERVICIOS GENERALES'!P30</f>
        <v>0</v>
      </c>
      <c r="S263" s="19">
        <f ca="1">'2ERA SERVICIOS GENERALES'!Q30</f>
        <v>0</v>
      </c>
      <c r="T263" s="19">
        <f ca="1">'2ERA SERVICIOS GENERALES'!R30</f>
        <v>0</v>
      </c>
      <c r="U263" s="21">
        <f ca="1">'2ERA SERVICIOS GENERALES'!S30</f>
        <v>2</v>
      </c>
    </row>
    <row r="264" spans="1:21" ht="39.75" customHeight="1">
      <c r="A264" s="53"/>
      <c r="B264" s="51"/>
      <c r="C264" s="12" t="str">
        <f ca="1">'1ERA SERVICIOS GENERALES'!A31</f>
        <v>PODAS EN ESCUELAS</v>
      </c>
      <c r="D264" s="8">
        <v>207</v>
      </c>
      <c r="E264" s="8" t="s">
        <v>319</v>
      </c>
      <c r="F264" s="8" t="s">
        <v>286</v>
      </c>
      <c r="G264" s="8" t="s">
        <v>292</v>
      </c>
      <c r="H264" s="18">
        <f ca="1">'2ERA SERVICIOS GENERALES'!F31</f>
        <v>0</v>
      </c>
      <c r="I264" s="19">
        <f ca="1">'2ERA SERVICIOS GENERALES'!G31</f>
        <v>14</v>
      </c>
      <c r="J264" s="19">
        <f ca="1">'2ERA SERVICIOS GENERALES'!H31</f>
        <v>12</v>
      </c>
      <c r="K264" s="19">
        <f ca="1">'2ERA SERVICIOS GENERALES'!I31</f>
        <v>0</v>
      </c>
      <c r="L264" s="19">
        <f ca="1">'2ERA SERVICIOS GENERALES'!J31</f>
        <v>0</v>
      </c>
      <c r="M264" s="19">
        <f ca="1">'2ERA SERVICIOS GENERALES'!K31</f>
        <v>0</v>
      </c>
      <c r="N264" s="19">
        <f ca="1">'2ERA SERVICIOS GENERALES'!L31</f>
        <v>0</v>
      </c>
      <c r="O264" s="19">
        <f ca="1">'2ERA SERVICIOS GENERALES'!M31</f>
        <v>0</v>
      </c>
      <c r="P264" s="19">
        <f ca="1">'2ERA SERVICIOS GENERALES'!N31</f>
        <v>0</v>
      </c>
      <c r="Q264" s="19">
        <f ca="1">'2ERA SERVICIOS GENERALES'!O31</f>
        <v>0</v>
      </c>
      <c r="R264" s="19">
        <f ca="1">'2ERA SERVICIOS GENERALES'!P31</f>
        <v>0</v>
      </c>
      <c r="S264" s="19">
        <f ca="1">'2ERA SERVICIOS GENERALES'!Q31</f>
        <v>0</v>
      </c>
      <c r="T264" s="19">
        <f ca="1">'2ERA SERVICIOS GENERALES'!R31</f>
        <v>0</v>
      </c>
      <c r="U264" s="21">
        <f ca="1">'2ERA SERVICIOS GENERALES'!S31</f>
        <v>26</v>
      </c>
    </row>
    <row r="265" spans="1:21" ht="39.75" customHeight="1">
      <c r="A265" s="53"/>
      <c r="B265" s="52" t="s">
        <v>320</v>
      </c>
      <c r="C265" s="12" t="str">
        <f ca="1">'1ERA SERVICIOS GENERALES'!A32</f>
        <v>SACRIFICIO DE RESES</v>
      </c>
      <c r="D265" s="8">
        <v>2576</v>
      </c>
      <c r="E265" s="8" t="s">
        <v>321</v>
      </c>
      <c r="F265" s="8" t="s">
        <v>286</v>
      </c>
      <c r="G265" s="8" t="s">
        <v>292</v>
      </c>
      <c r="H265" s="18">
        <f ca="1">'2ERA SERVICIOS GENERALES'!F32</f>
        <v>0</v>
      </c>
      <c r="I265" s="19">
        <f ca="1">'2ERA SERVICIOS GENERALES'!G32</f>
        <v>159</v>
      </c>
      <c r="J265" s="19">
        <f ca="1">'2ERA SERVICIOS GENERALES'!H32</f>
        <v>121</v>
      </c>
      <c r="K265" s="19">
        <f ca="1">'2ERA SERVICIOS GENERALES'!I32</f>
        <v>0</v>
      </c>
      <c r="L265" s="19">
        <f ca="1">'2ERA SERVICIOS GENERALES'!J32</f>
        <v>0</v>
      </c>
      <c r="M265" s="19">
        <f ca="1">'2ERA SERVICIOS GENERALES'!K32</f>
        <v>0</v>
      </c>
      <c r="N265" s="19">
        <f ca="1">'2ERA SERVICIOS GENERALES'!L32</f>
        <v>0</v>
      </c>
      <c r="O265" s="19">
        <f ca="1">'2ERA SERVICIOS GENERALES'!M32</f>
        <v>0</v>
      </c>
      <c r="P265" s="19">
        <f ca="1">'2ERA SERVICIOS GENERALES'!N32</f>
        <v>0</v>
      </c>
      <c r="Q265" s="19">
        <f ca="1">'2ERA SERVICIOS GENERALES'!O32</f>
        <v>0</v>
      </c>
      <c r="R265" s="19">
        <f ca="1">'2ERA SERVICIOS GENERALES'!P32</f>
        <v>0</v>
      </c>
      <c r="S265" s="19">
        <f ca="1">'2ERA SERVICIOS GENERALES'!Q32</f>
        <v>0</v>
      </c>
      <c r="T265" s="19">
        <f ca="1">'2ERA SERVICIOS GENERALES'!R32</f>
        <v>0</v>
      </c>
      <c r="U265" s="21">
        <f ca="1">'2ERA SERVICIOS GENERALES'!S32</f>
        <v>280</v>
      </c>
    </row>
    <row r="266" spans="1:21" ht="39.75" customHeight="1">
      <c r="A266" s="53"/>
      <c r="B266" s="53"/>
      <c r="C266" s="12" t="str">
        <f ca="1">'1ERA SERVICIOS GENERALES'!A33</f>
        <v>SACRIFICIOS DE CERDOS</v>
      </c>
      <c r="D266" s="8">
        <v>5549</v>
      </c>
      <c r="E266" s="8" t="s">
        <v>322</v>
      </c>
      <c r="F266" s="8" t="s">
        <v>286</v>
      </c>
      <c r="G266" s="8" t="s">
        <v>292</v>
      </c>
      <c r="H266" s="18">
        <f ca="1">'2ERA SERVICIOS GENERALES'!F33</f>
        <v>0</v>
      </c>
      <c r="I266" s="19">
        <f ca="1">'2ERA SERVICIOS GENERALES'!G33</f>
        <v>335</v>
      </c>
      <c r="J266" s="19">
        <f ca="1">'2ERA SERVICIOS GENERALES'!H33</f>
        <v>437</v>
      </c>
      <c r="K266" s="19">
        <f ca="1">'2ERA SERVICIOS GENERALES'!I33</f>
        <v>0</v>
      </c>
      <c r="L266" s="19">
        <f ca="1">'2ERA SERVICIOS GENERALES'!J33</f>
        <v>0</v>
      </c>
      <c r="M266" s="19">
        <f ca="1">'2ERA SERVICIOS GENERALES'!K33</f>
        <v>0</v>
      </c>
      <c r="N266" s="19">
        <f ca="1">'2ERA SERVICIOS GENERALES'!L33</f>
        <v>0</v>
      </c>
      <c r="O266" s="19">
        <f ca="1">'2ERA SERVICIOS GENERALES'!M33</f>
        <v>0</v>
      </c>
      <c r="P266" s="19">
        <f ca="1">'2ERA SERVICIOS GENERALES'!N33</f>
        <v>0</v>
      </c>
      <c r="Q266" s="19">
        <f ca="1">'2ERA SERVICIOS GENERALES'!O33</f>
        <v>0</v>
      </c>
      <c r="R266" s="19">
        <f ca="1">'2ERA SERVICIOS GENERALES'!P33</f>
        <v>0</v>
      </c>
      <c r="S266" s="19">
        <f ca="1">'2ERA SERVICIOS GENERALES'!Q33</f>
        <v>0</v>
      </c>
      <c r="T266" s="19">
        <f ca="1">'2ERA SERVICIOS GENERALES'!R33</f>
        <v>0</v>
      </c>
      <c r="U266" s="21">
        <f ca="1">'2ERA SERVICIOS GENERALES'!S33</f>
        <v>772</v>
      </c>
    </row>
    <row r="267" spans="1:21" ht="39.75" customHeight="1">
      <c r="A267" s="53"/>
      <c r="B267" s="53"/>
      <c r="C267" s="12" t="str">
        <f ca="1">'1ERA SERVICIOS GENERALES'!A34</f>
        <v>TOTAL DE ANIMALES RESGUARDADOS</v>
      </c>
      <c r="D267" s="8">
        <v>8425</v>
      </c>
      <c r="E267" s="8" t="s">
        <v>323</v>
      </c>
      <c r="F267" s="8" t="s">
        <v>286</v>
      </c>
      <c r="G267" s="8" t="s">
        <v>292</v>
      </c>
      <c r="H267" s="18">
        <f ca="1">'2ERA SERVICIOS GENERALES'!F34</f>
        <v>0</v>
      </c>
      <c r="I267" s="19">
        <f ca="1">'2ERA SERVICIOS GENERALES'!G34</f>
        <v>494</v>
      </c>
      <c r="J267" s="19">
        <f ca="1">'2ERA SERVICIOS GENERALES'!H34</f>
        <v>558</v>
      </c>
      <c r="K267" s="19">
        <f ca="1">'2ERA SERVICIOS GENERALES'!I34</f>
        <v>0</v>
      </c>
      <c r="L267" s="19">
        <f ca="1">'2ERA SERVICIOS GENERALES'!J34</f>
        <v>0</v>
      </c>
      <c r="M267" s="19">
        <f ca="1">'2ERA SERVICIOS GENERALES'!K34</f>
        <v>0</v>
      </c>
      <c r="N267" s="19">
        <f ca="1">'2ERA SERVICIOS GENERALES'!L34</f>
        <v>0</v>
      </c>
      <c r="O267" s="19">
        <f ca="1">'2ERA SERVICIOS GENERALES'!M34</f>
        <v>0</v>
      </c>
      <c r="P267" s="19">
        <f ca="1">'2ERA SERVICIOS GENERALES'!N34</f>
        <v>0</v>
      </c>
      <c r="Q267" s="19">
        <f ca="1">'2ERA SERVICIOS GENERALES'!O34</f>
        <v>0</v>
      </c>
      <c r="R267" s="19">
        <f ca="1">'2ERA SERVICIOS GENERALES'!P34</f>
        <v>0</v>
      </c>
      <c r="S267" s="19">
        <f ca="1">'2ERA SERVICIOS GENERALES'!Q34</f>
        <v>0</v>
      </c>
      <c r="T267" s="19">
        <f ca="1">'2ERA SERVICIOS GENERALES'!R34</f>
        <v>0</v>
      </c>
      <c r="U267" s="21">
        <f ca="1">'2ERA SERVICIOS GENERALES'!S34</f>
        <v>1052</v>
      </c>
    </row>
    <row r="268" spans="1:21" ht="39.75" customHeight="1">
      <c r="A268" s="53"/>
      <c r="B268" s="53"/>
      <c r="C268" s="12" t="str">
        <f ca="1">'1ERA SERVICIOS GENERALES'!A35</f>
        <v>DECOMISOS (KG)</v>
      </c>
      <c r="D268" s="8">
        <v>27180</v>
      </c>
      <c r="E268" s="8" t="s">
        <v>324</v>
      </c>
      <c r="F268" s="8" t="s">
        <v>286</v>
      </c>
      <c r="G268" s="8" t="s">
        <v>292</v>
      </c>
      <c r="H268" s="18">
        <f ca="1">'2ERA SERVICIOS GENERALES'!F35</f>
        <v>0</v>
      </c>
      <c r="I268" s="19">
        <f ca="1">'2ERA SERVICIOS GENERALES'!G35</f>
        <v>6800</v>
      </c>
      <c r="J268" s="19">
        <f ca="1">'2ERA SERVICIOS GENERALES'!H35</f>
        <v>9900</v>
      </c>
      <c r="K268" s="19">
        <f ca="1">'2ERA SERVICIOS GENERALES'!I35</f>
        <v>0</v>
      </c>
      <c r="L268" s="19">
        <f ca="1">'2ERA SERVICIOS GENERALES'!J35</f>
        <v>0</v>
      </c>
      <c r="M268" s="19">
        <f ca="1">'2ERA SERVICIOS GENERALES'!K35</f>
        <v>0</v>
      </c>
      <c r="N268" s="19">
        <f ca="1">'2ERA SERVICIOS GENERALES'!L35</f>
        <v>0</v>
      </c>
      <c r="O268" s="19">
        <f ca="1">'2ERA SERVICIOS GENERALES'!M35</f>
        <v>0</v>
      </c>
      <c r="P268" s="19">
        <f ca="1">'2ERA SERVICIOS GENERALES'!N35</f>
        <v>0</v>
      </c>
      <c r="Q268" s="19">
        <f ca="1">'2ERA SERVICIOS GENERALES'!O35</f>
        <v>0</v>
      </c>
      <c r="R268" s="19">
        <f ca="1">'2ERA SERVICIOS GENERALES'!P35</f>
        <v>0</v>
      </c>
      <c r="S268" s="19">
        <f ca="1">'2ERA SERVICIOS GENERALES'!Q35</f>
        <v>0</v>
      </c>
      <c r="T268" s="19">
        <f ca="1">'2ERA SERVICIOS GENERALES'!R35</f>
        <v>0</v>
      </c>
      <c r="U268" s="21">
        <f ca="1">'2ERA SERVICIOS GENERALES'!S35</f>
        <v>16700</v>
      </c>
    </row>
    <row r="269" spans="1:21" ht="39.75" customHeight="1">
      <c r="A269" s="53"/>
      <c r="B269" s="53"/>
      <c r="C269" s="12" t="str">
        <f ca="1">'1ERA SERVICIOS GENERALES'!A36</f>
        <v>TOTAL DE ANIMALES DECOMISADOS</v>
      </c>
      <c r="D269" s="8">
        <v>0</v>
      </c>
      <c r="E269" s="8" t="s">
        <v>324</v>
      </c>
      <c r="F269" s="8" t="s">
        <v>286</v>
      </c>
      <c r="G269" s="8" t="s">
        <v>292</v>
      </c>
      <c r="H269" s="18">
        <f ca="1">'2ERA SERVICIOS GENERALES'!F36</f>
        <v>0</v>
      </c>
      <c r="I269" s="19">
        <f ca="1">'2ERA SERVICIOS GENERALES'!G36</f>
        <v>0</v>
      </c>
      <c r="J269" s="19">
        <f ca="1">'2ERA SERVICIOS GENERALES'!H36</f>
        <v>2</v>
      </c>
      <c r="K269" s="19">
        <f ca="1">'2ERA SERVICIOS GENERALES'!I36</f>
        <v>0</v>
      </c>
      <c r="L269" s="19">
        <f ca="1">'2ERA SERVICIOS GENERALES'!J36</f>
        <v>0</v>
      </c>
      <c r="M269" s="19">
        <f ca="1">'2ERA SERVICIOS GENERALES'!K36</f>
        <v>0</v>
      </c>
      <c r="N269" s="19">
        <f ca="1">'2ERA SERVICIOS GENERALES'!L36</f>
        <v>0</v>
      </c>
      <c r="O269" s="19">
        <f ca="1">'2ERA SERVICIOS GENERALES'!M36</f>
        <v>0</v>
      </c>
      <c r="P269" s="19">
        <f ca="1">'2ERA SERVICIOS GENERALES'!N36</f>
        <v>0</v>
      </c>
      <c r="Q269" s="19">
        <f ca="1">'2ERA SERVICIOS GENERALES'!O36</f>
        <v>0</v>
      </c>
      <c r="R269" s="19">
        <f ca="1">'2ERA SERVICIOS GENERALES'!P36</f>
        <v>0</v>
      </c>
      <c r="S269" s="19">
        <f ca="1">'2ERA SERVICIOS GENERALES'!Q36</f>
        <v>0</v>
      </c>
      <c r="T269" s="19">
        <f ca="1">'2ERA SERVICIOS GENERALES'!R36</f>
        <v>0</v>
      </c>
      <c r="U269" s="21">
        <f ca="1">'2ERA SERVICIOS GENERALES'!S36</f>
        <v>2</v>
      </c>
    </row>
    <row r="270" spans="1:21" ht="39.75" customHeight="1">
      <c r="A270" s="53"/>
      <c r="B270" s="53"/>
      <c r="C270" s="12" t="str">
        <f ca="1">'1ERA SERVICIOS GENERALES'!A37</f>
        <v>NÚMERO DE REPORTES ATENDIDOS</v>
      </c>
      <c r="D270" s="8">
        <v>7</v>
      </c>
      <c r="E270" s="8" t="s">
        <v>288</v>
      </c>
      <c r="F270" s="8" t="s">
        <v>286</v>
      </c>
      <c r="G270" s="8" t="s">
        <v>292</v>
      </c>
      <c r="H270" s="18">
        <f ca="1">'2ERA SERVICIOS GENERALES'!F37</f>
        <v>0</v>
      </c>
      <c r="I270" s="19">
        <f ca="1">'2ERA SERVICIOS GENERALES'!G37</f>
        <v>0</v>
      </c>
      <c r="J270" s="19">
        <f ca="1">'2ERA SERVICIOS GENERALES'!H37</f>
        <v>0</v>
      </c>
      <c r="K270" s="19">
        <f ca="1">'2ERA SERVICIOS GENERALES'!I37</f>
        <v>0</v>
      </c>
      <c r="L270" s="19">
        <f ca="1">'2ERA SERVICIOS GENERALES'!J37</f>
        <v>0</v>
      </c>
      <c r="M270" s="19">
        <f ca="1">'2ERA SERVICIOS GENERALES'!K37</f>
        <v>0</v>
      </c>
      <c r="N270" s="19">
        <f ca="1">'2ERA SERVICIOS GENERALES'!L37</f>
        <v>0</v>
      </c>
      <c r="O270" s="19">
        <f ca="1">'2ERA SERVICIOS GENERALES'!M37</f>
        <v>0</v>
      </c>
      <c r="P270" s="19">
        <f ca="1">'2ERA SERVICIOS GENERALES'!N37</f>
        <v>0</v>
      </c>
      <c r="Q270" s="19">
        <f ca="1">'2ERA SERVICIOS GENERALES'!O37</f>
        <v>0</v>
      </c>
      <c r="R270" s="19">
        <f ca="1">'2ERA SERVICIOS GENERALES'!P37</f>
        <v>0</v>
      </c>
      <c r="S270" s="19">
        <f ca="1">'2ERA SERVICIOS GENERALES'!Q37</f>
        <v>0</v>
      </c>
      <c r="T270" s="19">
        <f ca="1">'2ERA SERVICIOS GENERALES'!R37</f>
        <v>0</v>
      </c>
      <c r="U270" s="21">
        <f ca="1">'2ERA SERVICIOS GENERALES'!S37</f>
        <v>0</v>
      </c>
    </row>
    <row r="271" spans="1:21" ht="39.75" customHeight="1">
      <c r="A271" s="53"/>
      <c r="B271" s="53"/>
      <c r="C271" s="12" t="str">
        <f ca="1">'1ERA SERVICIOS GENERALES'!A38</f>
        <v>NÚMERO DE INSPECCIONES</v>
      </c>
      <c r="D271" s="8">
        <v>1610</v>
      </c>
      <c r="E271" s="8" t="s">
        <v>325</v>
      </c>
      <c r="F271" s="8" t="s">
        <v>286</v>
      </c>
      <c r="G271" s="8" t="s">
        <v>292</v>
      </c>
      <c r="H271" s="18">
        <f ca="1">'2ERA SERVICIOS GENERALES'!F38</f>
        <v>0</v>
      </c>
      <c r="I271" s="19">
        <f ca="1">'2ERA SERVICIOS GENERALES'!G38</f>
        <v>100</v>
      </c>
      <c r="J271" s="19">
        <f ca="1">'2ERA SERVICIOS GENERALES'!H38</f>
        <v>360</v>
      </c>
      <c r="K271" s="19">
        <f ca="1">'2ERA SERVICIOS GENERALES'!I38</f>
        <v>0</v>
      </c>
      <c r="L271" s="19">
        <f ca="1">'2ERA SERVICIOS GENERALES'!J38</f>
        <v>0</v>
      </c>
      <c r="M271" s="19">
        <f ca="1">'2ERA SERVICIOS GENERALES'!K38</f>
        <v>0</v>
      </c>
      <c r="N271" s="19">
        <f ca="1">'2ERA SERVICIOS GENERALES'!L38</f>
        <v>0</v>
      </c>
      <c r="O271" s="19">
        <f ca="1">'2ERA SERVICIOS GENERALES'!M38</f>
        <v>0</v>
      </c>
      <c r="P271" s="19">
        <f ca="1">'2ERA SERVICIOS GENERALES'!N38</f>
        <v>0</v>
      </c>
      <c r="Q271" s="19">
        <f ca="1">'2ERA SERVICIOS GENERALES'!O38</f>
        <v>0</v>
      </c>
      <c r="R271" s="19">
        <f ca="1">'2ERA SERVICIOS GENERALES'!P38</f>
        <v>0</v>
      </c>
      <c r="S271" s="19">
        <f ca="1">'2ERA SERVICIOS GENERALES'!Q38</f>
        <v>0</v>
      </c>
      <c r="T271" s="19">
        <f ca="1">'2ERA SERVICIOS GENERALES'!R38</f>
        <v>0</v>
      </c>
      <c r="U271" s="21">
        <f ca="1">'2ERA SERVICIOS GENERALES'!S38</f>
        <v>460</v>
      </c>
    </row>
    <row r="272" spans="1:21" ht="39.75" customHeight="1">
      <c r="A272" s="53"/>
      <c r="B272" s="53"/>
      <c r="C272" s="12" t="str">
        <f ca="1">'1ERA SERVICIOS GENERALES'!A39</f>
        <v>OBRADORES</v>
      </c>
      <c r="D272" s="8">
        <v>339</v>
      </c>
      <c r="E272" s="8" t="s">
        <v>326</v>
      </c>
      <c r="F272" s="8" t="s">
        <v>286</v>
      </c>
      <c r="G272" s="8" t="s">
        <v>292</v>
      </c>
      <c r="H272" s="18">
        <f ca="1">'2ERA SERVICIOS GENERALES'!F39</f>
        <v>0</v>
      </c>
      <c r="I272" s="19">
        <f ca="1">'2ERA SERVICIOS GENERALES'!G39</f>
        <v>350</v>
      </c>
      <c r="J272" s="19">
        <f ca="1">'2ERA SERVICIOS GENERALES'!H39</f>
        <v>120</v>
      </c>
      <c r="K272" s="19">
        <f ca="1">'2ERA SERVICIOS GENERALES'!I39</f>
        <v>0</v>
      </c>
      <c r="L272" s="19">
        <f ca="1">'2ERA SERVICIOS GENERALES'!J39</f>
        <v>0</v>
      </c>
      <c r="M272" s="19">
        <f ca="1">'2ERA SERVICIOS GENERALES'!K39</f>
        <v>0</v>
      </c>
      <c r="N272" s="19">
        <f ca="1">'2ERA SERVICIOS GENERALES'!L39</f>
        <v>0</v>
      </c>
      <c r="O272" s="19">
        <f ca="1">'2ERA SERVICIOS GENERALES'!M39</f>
        <v>0</v>
      </c>
      <c r="P272" s="19">
        <f ca="1">'2ERA SERVICIOS GENERALES'!N39</f>
        <v>0</v>
      </c>
      <c r="Q272" s="19">
        <f ca="1">'2ERA SERVICIOS GENERALES'!O39</f>
        <v>0</v>
      </c>
      <c r="R272" s="19">
        <f ca="1">'2ERA SERVICIOS GENERALES'!P39</f>
        <v>0</v>
      </c>
      <c r="S272" s="19">
        <f ca="1">'2ERA SERVICIOS GENERALES'!Q39</f>
        <v>0</v>
      </c>
      <c r="T272" s="19">
        <f ca="1">'2ERA SERVICIOS GENERALES'!R39</f>
        <v>0</v>
      </c>
      <c r="U272" s="21">
        <f ca="1">'2ERA SERVICIOS GENERALES'!S39</f>
        <v>470</v>
      </c>
    </row>
    <row r="273" spans="1:21" ht="39.75" customHeight="1">
      <c r="A273" s="53"/>
      <c r="B273" s="53"/>
      <c r="C273" s="12" t="str">
        <f ca="1">'1ERA SERVICIOS GENERALES'!A40</f>
        <v>POLLERIAS</v>
      </c>
      <c r="D273" s="8">
        <v>57</v>
      </c>
      <c r="E273" s="8" t="s">
        <v>327</v>
      </c>
      <c r="F273" s="8" t="s">
        <v>286</v>
      </c>
      <c r="G273" s="8" t="s">
        <v>292</v>
      </c>
      <c r="H273" s="18">
        <f ca="1">'2ERA SERVICIOS GENERALES'!F40</f>
        <v>0</v>
      </c>
      <c r="I273" s="19">
        <f ca="1">'2ERA SERVICIOS GENERALES'!G40</f>
        <v>120</v>
      </c>
      <c r="J273" s="19">
        <f ca="1">'2ERA SERVICIOS GENERALES'!H40</f>
        <v>100</v>
      </c>
      <c r="K273" s="19">
        <f ca="1">'2ERA SERVICIOS GENERALES'!I40</f>
        <v>0</v>
      </c>
      <c r="L273" s="19">
        <f ca="1">'2ERA SERVICIOS GENERALES'!J40</f>
        <v>0</v>
      </c>
      <c r="M273" s="19">
        <f ca="1">'2ERA SERVICIOS GENERALES'!K40</f>
        <v>0</v>
      </c>
      <c r="N273" s="19">
        <f ca="1">'2ERA SERVICIOS GENERALES'!L40</f>
        <v>0</v>
      </c>
      <c r="O273" s="19">
        <f ca="1">'2ERA SERVICIOS GENERALES'!M40</f>
        <v>0</v>
      </c>
      <c r="P273" s="19">
        <f ca="1">'2ERA SERVICIOS GENERALES'!N40</f>
        <v>0</v>
      </c>
      <c r="Q273" s="19">
        <f ca="1">'2ERA SERVICIOS GENERALES'!O40</f>
        <v>0</v>
      </c>
      <c r="R273" s="19">
        <f ca="1">'2ERA SERVICIOS GENERALES'!P40</f>
        <v>0</v>
      </c>
      <c r="S273" s="19">
        <f ca="1">'2ERA SERVICIOS GENERALES'!Q40</f>
        <v>0</v>
      </c>
      <c r="T273" s="19">
        <f ca="1">'2ERA SERVICIOS GENERALES'!R40</f>
        <v>0</v>
      </c>
      <c r="U273" s="21">
        <f ca="1">'2ERA SERVICIOS GENERALES'!S40</f>
        <v>220</v>
      </c>
    </row>
    <row r="274" spans="1:21" ht="39.75" customHeight="1">
      <c r="A274" s="53"/>
      <c r="B274" s="53"/>
      <c r="C274" s="12" t="str">
        <f ca="1">'1ERA SERVICIOS GENERALES'!A41</f>
        <v>CARNICERIAS</v>
      </c>
      <c r="D274" s="8">
        <v>255</v>
      </c>
      <c r="E274" s="8" t="s">
        <v>328</v>
      </c>
      <c r="F274" s="8" t="s">
        <v>286</v>
      </c>
      <c r="G274" s="8" t="s">
        <v>292</v>
      </c>
      <c r="H274" s="18">
        <f ca="1">'2ERA SERVICIOS GENERALES'!F41</f>
        <v>0</v>
      </c>
      <c r="I274" s="19">
        <f ca="1">'2ERA SERVICIOS GENERALES'!G41</f>
        <v>130</v>
      </c>
      <c r="J274" s="19">
        <f ca="1">'2ERA SERVICIOS GENERALES'!H41</f>
        <v>140</v>
      </c>
      <c r="K274" s="19">
        <f ca="1">'2ERA SERVICIOS GENERALES'!I41</f>
        <v>0</v>
      </c>
      <c r="L274" s="19">
        <f ca="1">'2ERA SERVICIOS GENERALES'!J41</f>
        <v>0</v>
      </c>
      <c r="M274" s="19">
        <f ca="1">'2ERA SERVICIOS GENERALES'!K41</f>
        <v>0</v>
      </c>
      <c r="N274" s="19">
        <f ca="1">'2ERA SERVICIOS GENERALES'!L41</f>
        <v>0</v>
      </c>
      <c r="O274" s="19">
        <f ca="1">'2ERA SERVICIOS GENERALES'!M41</f>
        <v>0</v>
      </c>
      <c r="P274" s="19">
        <f ca="1">'2ERA SERVICIOS GENERALES'!N41</f>
        <v>0</v>
      </c>
      <c r="Q274" s="19">
        <f ca="1">'2ERA SERVICIOS GENERALES'!O41</f>
        <v>0</v>
      </c>
      <c r="R274" s="19">
        <f ca="1">'2ERA SERVICIOS GENERALES'!P41</f>
        <v>0</v>
      </c>
      <c r="S274" s="19">
        <f ca="1">'2ERA SERVICIOS GENERALES'!Q41</f>
        <v>0</v>
      </c>
      <c r="T274" s="19">
        <f ca="1">'2ERA SERVICIOS GENERALES'!R41</f>
        <v>0</v>
      </c>
      <c r="U274" s="21">
        <f ca="1">'2ERA SERVICIOS GENERALES'!S41</f>
        <v>270</v>
      </c>
    </row>
    <row r="275" spans="1:21" ht="39.75" customHeight="1">
      <c r="A275" s="53"/>
      <c r="B275" s="51"/>
      <c r="C275" s="12" t="str">
        <f ca="1">'1ERA SERVICIOS GENERALES'!A42</f>
        <v>TOTAL DE KG DECOMISADOS</v>
      </c>
      <c r="D275" s="8">
        <v>15000</v>
      </c>
      <c r="E275" s="8" t="s">
        <v>329</v>
      </c>
      <c r="F275" s="8" t="s">
        <v>286</v>
      </c>
      <c r="G275" s="8" t="s">
        <v>292</v>
      </c>
      <c r="H275" s="18">
        <f ca="1">'2ERA SERVICIOS GENERALES'!F42</f>
        <v>0</v>
      </c>
      <c r="I275" s="19">
        <f ca="1">'2ERA SERVICIOS GENERALES'!G42</f>
        <v>0</v>
      </c>
      <c r="J275" s="19">
        <f ca="1">'2ERA SERVICIOS GENERALES'!H42</f>
        <v>0</v>
      </c>
      <c r="K275" s="19">
        <f ca="1">'2ERA SERVICIOS GENERALES'!I42</f>
        <v>0</v>
      </c>
      <c r="L275" s="19">
        <f ca="1">'2ERA SERVICIOS GENERALES'!J42</f>
        <v>0</v>
      </c>
      <c r="M275" s="19">
        <f ca="1">'2ERA SERVICIOS GENERALES'!K42</f>
        <v>0</v>
      </c>
      <c r="N275" s="19">
        <f ca="1">'2ERA SERVICIOS GENERALES'!L42</f>
        <v>0</v>
      </c>
      <c r="O275" s="19">
        <f ca="1">'2ERA SERVICIOS GENERALES'!M42</f>
        <v>0</v>
      </c>
      <c r="P275" s="19">
        <f ca="1">'2ERA SERVICIOS GENERALES'!N42</f>
        <v>0</v>
      </c>
      <c r="Q275" s="19">
        <f ca="1">'2ERA SERVICIOS GENERALES'!O42</f>
        <v>0</v>
      </c>
      <c r="R275" s="19">
        <f ca="1">'2ERA SERVICIOS GENERALES'!P42</f>
        <v>0</v>
      </c>
      <c r="S275" s="19">
        <f ca="1">'2ERA SERVICIOS GENERALES'!Q42</f>
        <v>0</v>
      </c>
      <c r="T275" s="19">
        <f ca="1">'2ERA SERVICIOS GENERALES'!R42</f>
        <v>0</v>
      </c>
      <c r="U275" s="21">
        <f ca="1">'2ERA SERVICIOS GENERALES'!S42</f>
        <v>0</v>
      </c>
    </row>
    <row r="276" spans="1:21" ht="39.75" customHeight="1">
      <c r="A276" s="53"/>
      <c r="B276" s="52" t="s">
        <v>330</v>
      </c>
      <c r="C276" s="12" t="str">
        <f ca="1">'1ERA SERVICIOS GENERALES'!A43</f>
        <v>MANTENIMIENTO DE LUMINARIAS DELEGACIONES Y COMUNIDADES</v>
      </c>
      <c r="D276" s="8">
        <v>1517</v>
      </c>
      <c r="E276" s="8" t="s">
        <v>331</v>
      </c>
      <c r="F276" s="8" t="s">
        <v>286</v>
      </c>
      <c r="G276" s="8" t="s">
        <v>292</v>
      </c>
      <c r="H276" s="18">
        <f ca="1">'2ERA SERVICIOS GENERALES'!F43</f>
        <v>0</v>
      </c>
      <c r="I276" s="19">
        <f ca="1">'2ERA SERVICIOS GENERALES'!G43</f>
        <v>78</v>
      </c>
      <c r="J276" s="19">
        <f ca="1">'2ERA SERVICIOS GENERALES'!H43</f>
        <v>108</v>
      </c>
      <c r="K276" s="19">
        <f ca="1">'2ERA SERVICIOS GENERALES'!I43</f>
        <v>0</v>
      </c>
      <c r="L276" s="19">
        <f ca="1">'2ERA SERVICIOS GENERALES'!J43</f>
        <v>0</v>
      </c>
      <c r="M276" s="19">
        <f ca="1">'2ERA SERVICIOS GENERALES'!K43</f>
        <v>0</v>
      </c>
      <c r="N276" s="19">
        <f ca="1">'2ERA SERVICIOS GENERALES'!L43</f>
        <v>0</v>
      </c>
      <c r="O276" s="19">
        <f ca="1">'2ERA SERVICIOS GENERALES'!M43</f>
        <v>0</v>
      </c>
      <c r="P276" s="19">
        <f ca="1">'2ERA SERVICIOS GENERALES'!N43</f>
        <v>0</v>
      </c>
      <c r="Q276" s="19">
        <f ca="1">'2ERA SERVICIOS GENERALES'!O43</f>
        <v>0</v>
      </c>
      <c r="R276" s="19">
        <f ca="1">'2ERA SERVICIOS GENERALES'!P43</f>
        <v>0</v>
      </c>
      <c r="S276" s="19">
        <f ca="1">'2ERA SERVICIOS GENERALES'!Q43</f>
        <v>0</v>
      </c>
      <c r="T276" s="19">
        <f ca="1">'2ERA SERVICIOS GENERALES'!R43</f>
        <v>0</v>
      </c>
      <c r="U276" s="21">
        <f ca="1">'2ERA SERVICIOS GENERALES'!S43</f>
        <v>186</v>
      </c>
    </row>
    <row r="277" spans="1:21" ht="39.75" customHeight="1">
      <c r="A277" s="53"/>
      <c r="B277" s="53"/>
      <c r="C277" s="12" t="str">
        <f ca="1">'1ERA SERVICIOS GENERALES'!A44</f>
        <v>MANTENIMIENTO DE LUMINARIAS EN CABECERA MUNICIPAL</v>
      </c>
      <c r="D277" s="8">
        <v>1200</v>
      </c>
      <c r="E277" s="8" t="s">
        <v>332</v>
      </c>
      <c r="F277" s="8" t="s">
        <v>286</v>
      </c>
      <c r="G277" s="8" t="s">
        <v>292</v>
      </c>
      <c r="H277" s="18">
        <f ca="1">'2ERA SERVICIOS GENERALES'!F44</f>
        <v>0</v>
      </c>
      <c r="I277" s="19">
        <f ca="1">'2ERA SERVICIOS GENERALES'!G44</f>
        <v>191</v>
      </c>
      <c r="J277" s="19">
        <f ca="1">'2ERA SERVICIOS GENERALES'!H44</f>
        <v>71</v>
      </c>
      <c r="K277" s="19">
        <f ca="1">'2ERA SERVICIOS GENERALES'!I44</f>
        <v>0</v>
      </c>
      <c r="L277" s="19">
        <f ca="1">'2ERA SERVICIOS GENERALES'!J44</f>
        <v>0</v>
      </c>
      <c r="M277" s="19">
        <f ca="1">'2ERA SERVICIOS GENERALES'!K44</f>
        <v>0</v>
      </c>
      <c r="N277" s="19">
        <f ca="1">'2ERA SERVICIOS GENERALES'!L44</f>
        <v>0</v>
      </c>
      <c r="O277" s="19">
        <f ca="1">'2ERA SERVICIOS GENERALES'!M44</f>
        <v>0</v>
      </c>
      <c r="P277" s="19">
        <f ca="1">'2ERA SERVICIOS GENERALES'!N44</f>
        <v>0</v>
      </c>
      <c r="Q277" s="19">
        <f ca="1">'2ERA SERVICIOS GENERALES'!O44</f>
        <v>0</v>
      </c>
      <c r="R277" s="19">
        <f ca="1">'2ERA SERVICIOS GENERALES'!P44</f>
        <v>0</v>
      </c>
      <c r="S277" s="19">
        <f ca="1">'2ERA SERVICIOS GENERALES'!Q44</f>
        <v>0</v>
      </c>
      <c r="T277" s="19">
        <f ca="1">'2ERA SERVICIOS GENERALES'!R44</f>
        <v>0</v>
      </c>
      <c r="U277" s="21">
        <f ca="1">'2ERA SERVICIOS GENERALES'!S44</f>
        <v>262</v>
      </c>
    </row>
    <row r="278" spans="1:21" ht="39.75" customHeight="1">
      <c r="A278" s="53"/>
      <c r="B278" s="53"/>
      <c r="C278" s="12" t="str">
        <f ca="1">'1ERA SERVICIOS GENERALES'!A45</f>
        <v>INSTALACIÓN DE LÁMPARAS NUEVAS DELEGACIONES Y COMUNIDADES</v>
      </c>
      <c r="D278" s="8">
        <v>197</v>
      </c>
      <c r="E278" s="8" t="s">
        <v>333</v>
      </c>
      <c r="F278" s="8" t="s">
        <v>286</v>
      </c>
      <c r="G278" s="8" t="s">
        <v>292</v>
      </c>
      <c r="H278" s="18">
        <f ca="1">'2ERA SERVICIOS GENERALES'!F45</f>
        <v>0</v>
      </c>
      <c r="I278" s="19">
        <f ca="1">'2ERA SERVICIOS GENERALES'!G45</f>
        <v>16</v>
      </c>
      <c r="J278" s="19">
        <f ca="1">'2ERA SERVICIOS GENERALES'!H45</f>
        <v>8</v>
      </c>
      <c r="K278" s="19">
        <f ca="1">'2ERA SERVICIOS GENERALES'!I45</f>
        <v>0</v>
      </c>
      <c r="L278" s="19">
        <f ca="1">'2ERA SERVICIOS GENERALES'!J45</f>
        <v>0</v>
      </c>
      <c r="M278" s="19">
        <f ca="1">'2ERA SERVICIOS GENERALES'!K45</f>
        <v>0</v>
      </c>
      <c r="N278" s="19">
        <f ca="1">'2ERA SERVICIOS GENERALES'!L45</f>
        <v>0</v>
      </c>
      <c r="O278" s="19">
        <f ca="1">'2ERA SERVICIOS GENERALES'!M45</f>
        <v>0</v>
      </c>
      <c r="P278" s="19">
        <f ca="1">'2ERA SERVICIOS GENERALES'!N45</f>
        <v>0</v>
      </c>
      <c r="Q278" s="19">
        <f ca="1">'2ERA SERVICIOS GENERALES'!O45</f>
        <v>0</v>
      </c>
      <c r="R278" s="19">
        <f ca="1">'2ERA SERVICIOS GENERALES'!P45</f>
        <v>0</v>
      </c>
      <c r="S278" s="19">
        <f ca="1">'2ERA SERVICIOS GENERALES'!Q45</f>
        <v>0</v>
      </c>
      <c r="T278" s="19">
        <f ca="1">'2ERA SERVICIOS GENERALES'!R45</f>
        <v>0</v>
      </c>
      <c r="U278" s="21">
        <f ca="1">'2ERA SERVICIOS GENERALES'!S45</f>
        <v>24</v>
      </c>
    </row>
    <row r="279" spans="1:21" ht="39.75" customHeight="1">
      <c r="A279" s="53"/>
      <c r="B279" s="53"/>
      <c r="C279" s="12" t="str">
        <f ca="1">'1ERA SERVICIOS GENERALES'!A46</f>
        <v>INSTALACIÓN DE LÁMPARAS NUEVAS CABECERA MUNICIPAL</v>
      </c>
      <c r="D279" s="8">
        <v>59</v>
      </c>
      <c r="E279" s="8" t="s">
        <v>334</v>
      </c>
      <c r="F279" s="8" t="s">
        <v>286</v>
      </c>
      <c r="G279" s="8" t="s">
        <v>292</v>
      </c>
      <c r="H279" s="18">
        <f ca="1">'2ERA SERVICIOS GENERALES'!F46</f>
        <v>0</v>
      </c>
      <c r="I279" s="19">
        <f ca="1">'2ERA SERVICIOS GENERALES'!G46</f>
        <v>13</v>
      </c>
      <c r="J279" s="19">
        <f ca="1">'2ERA SERVICIOS GENERALES'!H46</f>
        <v>12</v>
      </c>
      <c r="K279" s="19">
        <f ca="1">'2ERA SERVICIOS GENERALES'!I46</f>
        <v>0</v>
      </c>
      <c r="L279" s="19">
        <f ca="1">'2ERA SERVICIOS GENERALES'!J46</f>
        <v>0</v>
      </c>
      <c r="M279" s="19">
        <f ca="1">'2ERA SERVICIOS GENERALES'!K46</f>
        <v>0</v>
      </c>
      <c r="N279" s="19">
        <f ca="1">'2ERA SERVICIOS GENERALES'!L46</f>
        <v>0</v>
      </c>
      <c r="O279" s="19">
        <f ca="1">'2ERA SERVICIOS GENERALES'!M46</f>
        <v>0</v>
      </c>
      <c r="P279" s="19">
        <f ca="1">'2ERA SERVICIOS GENERALES'!N46</f>
        <v>0</v>
      </c>
      <c r="Q279" s="19">
        <f ca="1">'2ERA SERVICIOS GENERALES'!O46</f>
        <v>0</v>
      </c>
      <c r="R279" s="19">
        <f ca="1">'2ERA SERVICIOS GENERALES'!P46</f>
        <v>0</v>
      </c>
      <c r="S279" s="19">
        <f ca="1">'2ERA SERVICIOS GENERALES'!Q46</f>
        <v>0</v>
      </c>
      <c r="T279" s="19">
        <f ca="1">'2ERA SERVICIOS GENERALES'!R46</f>
        <v>0</v>
      </c>
      <c r="U279" s="21">
        <f ca="1">'2ERA SERVICIOS GENERALES'!S46</f>
        <v>25</v>
      </c>
    </row>
    <row r="280" spans="1:21" ht="39.75" customHeight="1">
      <c r="A280" s="53"/>
      <c r="B280" s="53"/>
      <c r="C280" s="12" t="str">
        <f ca="1">'1ERA SERVICIOS GENERALES'!A47</f>
        <v>NÚMERO DE SOLICITUDES PARA LÁMPARAS NUEVAS</v>
      </c>
      <c r="D280" s="8">
        <v>83</v>
      </c>
      <c r="E280" s="8" t="s">
        <v>335</v>
      </c>
      <c r="F280" s="8" t="s">
        <v>286</v>
      </c>
      <c r="G280" s="8" t="s">
        <v>292</v>
      </c>
      <c r="H280" s="18">
        <f ca="1">'2ERA SERVICIOS GENERALES'!F47</f>
        <v>0</v>
      </c>
      <c r="I280" s="19">
        <f ca="1">'2ERA SERVICIOS GENERALES'!G47</f>
        <v>25</v>
      </c>
      <c r="J280" s="19">
        <f ca="1">'2ERA SERVICIOS GENERALES'!H47</f>
        <v>3</v>
      </c>
      <c r="K280" s="19">
        <f ca="1">'2ERA SERVICIOS GENERALES'!I47</f>
        <v>0</v>
      </c>
      <c r="L280" s="19">
        <f ca="1">'2ERA SERVICIOS GENERALES'!J47</f>
        <v>0</v>
      </c>
      <c r="M280" s="19">
        <f ca="1">'2ERA SERVICIOS GENERALES'!K47</f>
        <v>0</v>
      </c>
      <c r="N280" s="19">
        <f ca="1">'2ERA SERVICIOS GENERALES'!L47</f>
        <v>0</v>
      </c>
      <c r="O280" s="19">
        <f ca="1">'2ERA SERVICIOS GENERALES'!M47</f>
        <v>0</v>
      </c>
      <c r="P280" s="19">
        <f ca="1">'2ERA SERVICIOS GENERALES'!N47</f>
        <v>0</v>
      </c>
      <c r="Q280" s="19">
        <f ca="1">'2ERA SERVICIOS GENERALES'!O47</f>
        <v>0</v>
      </c>
      <c r="R280" s="19">
        <f ca="1">'2ERA SERVICIOS GENERALES'!P47</f>
        <v>0</v>
      </c>
      <c r="S280" s="19">
        <f ca="1">'2ERA SERVICIOS GENERALES'!Q47</f>
        <v>0</v>
      </c>
      <c r="T280" s="19">
        <f ca="1">'2ERA SERVICIOS GENERALES'!R47</f>
        <v>0</v>
      </c>
      <c r="U280" s="21">
        <f ca="1">'2ERA SERVICIOS GENERALES'!S47</f>
        <v>28</v>
      </c>
    </row>
    <row r="281" spans="1:21" ht="39.75" customHeight="1">
      <c r="A281" s="53"/>
      <c r="B281" s="53"/>
      <c r="C281" s="12" t="str">
        <f ca="1">'1ERA SERVICIOS GENERALES'!A48</f>
        <v>censo actual de LUMINARIAS</v>
      </c>
      <c r="D281" s="8">
        <v>41224</v>
      </c>
      <c r="E281" s="8" t="s">
        <v>336</v>
      </c>
      <c r="F281" s="8" t="s">
        <v>286</v>
      </c>
      <c r="G281" s="8" t="s">
        <v>292</v>
      </c>
      <c r="H281" s="18">
        <f ca="1">'2ERA SERVICIOS GENERALES'!F48</f>
        <v>0</v>
      </c>
      <c r="I281" s="19">
        <f ca="1">'2ERA SERVICIOS GENERALES'!G48</f>
        <v>0</v>
      </c>
      <c r="J281" s="19">
        <f ca="1">'2ERA SERVICIOS GENERALES'!H48</f>
        <v>0</v>
      </c>
      <c r="K281" s="19">
        <f ca="1">'2ERA SERVICIOS GENERALES'!I48</f>
        <v>0</v>
      </c>
      <c r="L281" s="19">
        <f ca="1">'2ERA SERVICIOS GENERALES'!J48</f>
        <v>0</v>
      </c>
      <c r="M281" s="19">
        <f ca="1">'2ERA SERVICIOS GENERALES'!K48</f>
        <v>0</v>
      </c>
      <c r="N281" s="19">
        <f ca="1">'2ERA SERVICIOS GENERALES'!L48</f>
        <v>0</v>
      </c>
      <c r="O281" s="19">
        <f ca="1">'2ERA SERVICIOS GENERALES'!M48</f>
        <v>0</v>
      </c>
      <c r="P281" s="19">
        <f ca="1">'2ERA SERVICIOS GENERALES'!N48</f>
        <v>0</v>
      </c>
      <c r="Q281" s="19">
        <f ca="1">'2ERA SERVICIOS GENERALES'!O48</f>
        <v>0</v>
      </c>
      <c r="R281" s="19">
        <f ca="1">'2ERA SERVICIOS GENERALES'!P48</f>
        <v>0</v>
      </c>
      <c r="S281" s="19">
        <f ca="1">'2ERA SERVICIOS GENERALES'!Q48</f>
        <v>0</v>
      </c>
      <c r="T281" s="19">
        <f ca="1">'2ERA SERVICIOS GENERALES'!R48</f>
        <v>0</v>
      </c>
      <c r="U281" s="21">
        <f ca="1">'2ERA SERVICIOS GENERALES'!S48</f>
        <v>0</v>
      </c>
    </row>
    <row r="282" spans="1:21" ht="39.75" customHeight="1">
      <c r="A282" s="53"/>
      <c r="B282" s="53"/>
      <c r="C282" s="12" t="str">
        <f ca="1">'1ERA SERVICIOS GENERALES'!A49</f>
        <v>ACTIVIDADES EXTRAS (MANTENIMIENTO ELÉCTRICO DE EDIFICIOS PÚBLICOS, APOYO A EVENTOS)</v>
      </c>
      <c r="D282" s="8">
        <v>483</v>
      </c>
      <c r="E282" s="8" t="s">
        <v>337</v>
      </c>
      <c r="F282" s="8" t="s">
        <v>286</v>
      </c>
      <c r="G282" s="8" t="s">
        <v>292</v>
      </c>
      <c r="H282" s="18">
        <f ca="1">'2ERA SERVICIOS GENERALES'!F49</f>
        <v>0</v>
      </c>
      <c r="I282" s="19">
        <f ca="1">'2ERA SERVICIOS GENERALES'!G49</f>
        <v>52</v>
      </c>
      <c r="J282" s="19">
        <f ca="1">'2ERA SERVICIOS GENERALES'!H49</f>
        <v>63</v>
      </c>
      <c r="K282" s="19">
        <f ca="1">'2ERA SERVICIOS GENERALES'!I49</f>
        <v>0</v>
      </c>
      <c r="L282" s="19">
        <f ca="1">'2ERA SERVICIOS GENERALES'!J49</f>
        <v>0</v>
      </c>
      <c r="M282" s="19">
        <f ca="1">'2ERA SERVICIOS GENERALES'!K49</f>
        <v>0</v>
      </c>
      <c r="N282" s="19">
        <f ca="1">'2ERA SERVICIOS GENERALES'!L49</f>
        <v>0</v>
      </c>
      <c r="O282" s="19">
        <f ca="1">'2ERA SERVICIOS GENERALES'!M49</f>
        <v>0</v>
      </c>
      <c r="P282" s="19">
        <f ca="1">'2ERA SERVICIOS GENERALES'!N49</f>
        <v>0</v>
      </c>
      <c r="Q282" s="19">
        <f ca="1">'2ERA SERVICIOS GENERALES'!O49</f>
        <v>0</v>
      </c>
      <c r="R282" s="19">
        <f ca="1">'2ERA SERVICIOS GENERALES'!P49</f>
        <v>0</v>
      </c>
      <c r="S282" s="19">
        <f ca="1">'2ERA SERVICIOS GENERALES'!Q49</f>
        <v>0</v>
      </c>
      <c r="T282" s="19">
        <f ca="1">'2ERA SERVICIOS GENERALES'!R49</f>
        <v>0</v>
      </c>
      <c r="U282" s="21">
        <f ca="1">'2ERA SERVICIOS GENERALES'!S49</f>
        <v>115</v>
      </c>
    </row>
    <row r="283" spans="1:21" ht="39.75" customHeight="1">
      <c r="A283" s="53"/>
      <c r="B283" s="51"/>
      <c r="C283" s="12" t="str">
        <f ca="1">'1ERA SERVICIOS GENERALES'!A50</f>
        <v>PADRON DE LUMINARIA NO FUNCIONAL(REPORTE CIUDADANO)</v>
      </c>
      <c r="D283" s="8">
        <v>1408</v>
      </c>
      <c r="E283" s="8" t="s">
        <v>338</v>
      </c>
      <c r="F283" s="8" t="s">
        <v>286</v>
      </c>
      <c r="G283" s="8" t="s">
        <v>292</v>
      </c>
      <c r="H283" s="18">
        <f ca="1">'2ERA SERVICIOS GENERALES'!F50</f>
        <v>0</v>
      </c>
      <c r="I283" s="19">
        <f ca="1">'2ERA SERVICIOS GENERALES'!G50</f>
        <v>63</v>
      </c>
      <c r="J283" s="19">
        <f ca="1">'2ERA SERVICIOS GENERALES'!H50</f>
        <v>32</v>
      </c>
      <c r="K283" s="19">
        <f ca="1">'2ERA SERVICIOS GENERALES'!I50</f>
        <v>0</v>
      </c>
      <c r="L283" s="19">
        <f ca="1">'2ERA SERVICIOS GENERALES'!J50</f>
        <v>0</v>
      </c>
      <c r="M283" s="19">
        <f ca="1">'2ERA SERVICIOS GENERALES'!K50</f>
        <v>0</v>
      </c>
      <c r="N283" s="19">
        <f ca="1">'2ERA SERVICIOS GENERALES'!L50</f>
        <v>0</v>
      </c>
      <c r="O283" s="19">
        <f ca="1">'2ERA SERVICIOS GENERALES'!M50</f>
        <v>0</v>
      </c>
      <c r="P283" s="19">
        <f ca="1">'2ERA SERVICIOS GENERALES'!N50</f>
        <v>0</v>
      </c>
      <c r="Q283" s="19">
        <f ca="1">'2ERA SERVICIOS GENERALES'!O50</f>
        <v>0</v>
      </c>
      <c r="R283" s="19">
        <f ca="1">'2ERA SERVICIOS GENERALES'!P50</f>
        <v>0</v>
      </c>
      <c r="S283" s="19">
        <f ca="1">'2ERA SERVICIOS GENERALES'!Q50</f>
        <v>0</v>
      </c>
      <c r="T283" s="19">
        <f ca="1">'2ERA SERVICIOS GENERALES'!R50</f>
        <v>0</v>
      </c>
      <c r="U283" s="21">
        <f ca="1">'2ERA SERVICIOS GENERALES'!S50</f>
        <v>95</v>
      </c>
    </row>
    <row r="284" spans="1:21" ht="39.75" customHeight="1">
      <c r="A284" s="53"/>
      <c r="B284" s="52" t="s">
        <v>339</v>
      </c>
      <c r="C284" s="12" t="str">
        <f ca="1">'1ERA SERVICIOS GENERALES'!A51</f>
        <v>VIGILANCIA EN VERTEDERO MUNICIPAL (TONELADAS VERTIDAS POR MES)</v>
      </c>
      <c r="D284" s="8">
        <v>572</v>
      </c>
      <c r="E284" s="8" t="s">
        <v>340</v>
      </c>
      <c r="F284" s="8" t="s">
        <v>286</v>
      </c>
      <c r="G284" s="8" t="s">
        <v>292</v>
      </c>
      <c r="H284" s="18">
        <f ca="1">'2ERA SERVICIOS GENERALES'!F51</f>
        <v>0</v>
      </c>
      <c r="I284" s="19">
        <f ca="1">'2ERA SERVICIOS GENERALES'!G51</f>
        <v>0</v>
      </c>
      <c r="J284" s="19">
        <f ca="1">'2ERA SERVICIOS GENERALES'!H51</f>
        <v>0</v>
      </c>
      <c r="K284" s="19">
        <f ca="1">'2ERA SERVICIOS GENERALES'!I51</f>
        <v>0</v>
      </c>
      <c r="L284" s="19">
        <f ca="1">'2ERA SERVICIOS GENERALES'!J51</f>
        <v>0</v>
      </c>
      <c r="M284" s="19">
        <f ca="1">'2ERA SERVICIOS GENERALES'!K51</f>
        <v>0</v>
      </c>
      <c r="N284" s="19">
        <f ca="1">'2ERA SERVICIOS GENERALES'!L51</f>
        <v>0</v>
      </c>
      <c r="O284" s="19">
        <f ca="1">'2ERA SERVICIOS GENERALES'!M51</f>
        <v>0</v>
      </c>
      <c r="P284" s="19">
        <f ca="1">'2ERA SERVICIOS GENERALES'!N51</f>
        <v>0</v>
      </c>
      <c r="Q284" s="19">
        <f ca="1">'2ERA SERVICIOS GENERALES'!O51</f>
        <v>0</v>
      </c>
      <c r="R284" s="19">
        <f ca="1">'2ERA SERVICIOS GENERALES'!P51</f>
        <v>0</v>
      </c>
      <c r="S284" s="19">
        <f ca="1">'2ERA SERVICIOS GENERALES'!Q51</f>
        <v>0</v>
      </c>
      <c r="T284" s="19">
        <f ca="1">'2ERA SERVICIOS GENERALES'!R51</f>
        <v>0</v>
      </c>
      <c r="U284" s="21">
        <f ca="1">'2ERA SERVICIOS GENERALES'!S51</f>
        <v>0</v>
      </c>
    </row>
    <row r="285" spans="1:21" ht="39.75" customHeight="1">
      <c r="A285" s="53"/>
      <c r="B285" s="53"/>
      <c r="C285" s="12" t="str">
        <f ca="1">'1ERA SERVICIOS GENERALES'!A52</f>
        <v>NÚMERO DE CALLES ASEADAS</v>
      </c>
      <c r="D285" s="8">
        <v>441765</v>
      </c>
      <c r="E285" s="8" t="s">
        <v>341</v>
      </c>
      <c r="F285" s="8" t="s">
        <v>286</v>
      </c>
      <c r="G285" s="8" t="s">
        <v>292</v>
      </c>
      <c r="H285" s="18">
        <f ca="1">'2ERA SERVICIOS GENERALES'!F52</f>
        <v>0</v>
      </c>
      <c r="I285" s="19">
        <f ca="1">'2ERA SERVICIOS GENERALES'!G52</f>
        <v>0</v>
      </c>
      <c r="J285" s="19">
        <f ca="1">'2ERA SERVICIOS GENERALES'!H52</f>
        <v>0</v>
      </c>
      <c r="K285" s="19">
        <f ca="1">'2ERA SERVICIOS GENERALES'!I52</f>
        <v>0</v>
      </c>
      <c r="L285" s="19">
        <f ca="1">'2ERA SERVICIOS GENERALES'!J52</f>
        <v>0</v>
      </c>
      <c r="M285" s="19">
        <f ca="1">'2ERA SERVICIOS GENERALES'!K52</f>
        <v>0</v>
      </c>
      <c r="N285" s="19">
        <f ca="1">'2ERA SERVICIOS GENERALES'!L52</f>
        <v>0</v>
      </c>
      <c r="O285" s="19">
        <f ca="1">'2ERA SERVICIOS GENERALES'!M52</f>
        <v>0</v>
      </c>
      <c r="P285" s="19">
        <f ca="1">'2ERA SERVICIOS GENERALES'!N52</f>
        <v>0</v>
      </c>
      <c r="Q285" s="19">
        <f ca="1">'2ERA SERVICIOS GENERALES'!O52</f>
        <v>0</v>
      </c>
      <c r="R285" s="19">
        <f ca="1">'2ERA SERVICIOS GENERALES'!P52</f>
        <v>0</v>
      </c>
      <c r="S285" s="19">
        <f ca="1">'2ERA SERVICIOS GENERALES'!Q52</f>
        <v>0</v>
      </c>
      <c r="T285" s="19">
        <f ca="1">'2ERA SERVICIOS GENERALES'!R52</f>
        <v>0</v>
      </c>
      <c r="U285" s="21">
        <f ca="1">'2ERA SERVICIOS GENERALES'!S52</f>
        <v>0</v>
      </c>
    </row>
    <row r="286" spans="1:21" ht="39.75" customHeight="1">
      <c r="A286" s="53"/>
      <c r="B286" s="51"/>
      <c r="C286" s="12" t="str">
        <f ca="1">'1ERA SERVICIOS GENERALES'!A53</f>
        <v>TONELADAS RECOLECTADAS</v>
      </c>
      <c r="D286" s="8">
        <v>285</v>
      </c>
      <c r="E286" s="8" t="s">
        <v>342</v>
      </c>
      <c r="F286" s="8" t="s">
        <v>286</v>
      </c>
      <c r="G286" s="8" t="s">
        <v>292</v>
      </c>
      <c r="H286" s="18">
        <f ca="1">'2ERA SERVICIOS GENERALES'!F53</f>
        <v>0</v>
      </c>
      <c r="I286" s="19">
        <f ca="1">'2ERA SERVICIOS GENERALES'!G53</f>
        <v>30</v>
      </c>
      <c r="J286" s="19">
        <f ca="1">'2ERA SERVICIOS GENERALES'!H53</f>
        <v>30</v>
      </c>
      <c r="K286" s="19">
        <f ca="1">'2ERA SERVICIOS GENERALES'!I53</f>
        <v>0</v>
      </c>
      <c r="L286" s="19">
        <f ca="1">'2ERA SERVICIOS GENERALES'!J53</f>
        <v>0</v>
      </c>
      <c r="M286" s="19">
        <f ca="1">'2ERA SERVICIOS GENERALES'!K53</f>
        <v>0</v>
      </c>
      <c r="N286" s="19">
        <f ca="1">'2ERA SERVICIOS GENERALES'!L53</f>
        <v>0</v>
      </c>
      <c r="O286" s="19">
        <f ca="1">'2ERA SERVICIOS GENERALES'!M53</f>
        <v>0</v>
      </c>
      <c r="P286" s="19">
        <f ca="1">'2ERA SERVICIOS GENERALES'!N53</f>
        <v>0</v>
      </c>
      <c r="Q286" s="19">
        <f ca="1">'2ERA SERVICIOS GENERALES'!O53</f>
        <v>0</v>
      </c>
      <c r="R286" s="19">
        <f ca="1">'2ERA SERVICIOS GENERALES'!P53</f>
        <v>0</v>
      </c>
      <c r="S286" s="19">
        <f ca="1">'2ERA SERVICIOS GENERALES'!Q53</f>
        <v>0</v>
      </c>
      <c r="T286" s="19">
        <f ca="1">'2ERA SERVICIOS GENERALES'!R53</f>
        <v>0</v>
      </c>
      <c r="U286" s="21">
        <f ca="1">'2ERA SERVICIOS GENERALES'!S53</f>
        <v>60</v>
      </c>
    </row>
    <row r="287" spans="1:21" ht="39.75" customHeight="1">
      <c r="A287" s="53"/>
      <c r="B287" s="52" t="s">
        <v>343</v>
      </c>
      <c r="C287" s="12" t="str">
        <f ca="1">'1ERA SERVICIOS GENERALES'!A54</f>
        <v>REPARACIÓN DE SUSPENSIONES</v>
      </c>
      <c r="D287" s="8">
        <v>1044810</v>
      </c>
      <c r="E287" s="8" t="s">
        <v>294</v>
      </c>
      <c r="F287" s="8" t="s">
        <v>286</v>
      </c>
      <c r="G287" s="8" t="s">
        <v>292</v>
      </c>
      <c r="H287" s="18">
        <f ca="1">'2ERA SERVICIOS GENERALES'!F54</f>
        <v>0</v>
      </c>
      <c r="I287" s="19">
        <f ca="1">'2ERA SERVICIOS GENERALES'!G54</f>
        <v>209</v>
      </c>
      <c r="J287" s="19">
        <f ca="1">'2ERA SERVICIOS GENERALES'!H54</f>
        <v>217</v>
      </c>
      <c r="K287" s="19">
        <f ca="1">'2ERA SERVICIOS GENERALES'!I54</f>
        <v>0</v>
      </c>
      <c r="L287" s="19">
        <f ca="1">'2ERA SERVICIOS GENERALES'!J54</f>
        <v>0</v>
      </c>
      <c r="M287" s="19">
        <f ca="1">'2ERA SERVICIOS GENERALES'!K54</f>
        <v>0</v>
      </c>
      <c r="N287" s="19">
        <f ca="1">'2ERA SERVICIOS GENERALES'!L54</f>
        <v>0</v>
      </c>
      <c r="O287" s="19">
        <f ca="1">'2ERA SERVICIOS GENERALES'!M54</f>
        <v>0</v>
      </c>
      <c r="P287" s="19">
        <f ca="1">'2ERA SERVICIOS GENERALES'!N54</f>
        <v>0</v>
      </c>
      <c r="Q287" s="19">
        <f ca="1">'2ERA SERVICIOS GENERALES'!O54</f>
        <v>0</v>
      </c>
      <c r="R287" s="19">
        <f ca="1">'2ERA SERVICIOS GENERALES'!P54</f>
        <v>0</v>
      </c>
      <c r="S287" s="19">
        <f ca="1">'2ERA SERVICIOS GENERALES'!Q54</f>
        <v>0</v>
      </c>
      <c r="T287" s="19">
        <f ca="1">'2ERA SERVICIOS GENERALES'!R54</f>
        <v>0</v>
      </c>
      <c r="U287" s="21">
        <f ca="1">'2ERA SERVICIOS GENERALES'!S54</f>
        <v>426</v>
      </c>
    </row>
    <row r="288" spans="1:21" ht="39.75" customHeight="1">
      <c r="A288" s="53"/>
      <c r="B288" s="53"/>
      <c r="C288" s="12" t="str">
        <f ca="1">'1ERA SERVICIOS GENERALES'!A55</f>
        <v>REPARACIONES VARIAS</v>
      </c>
      <c r="D288" s="8">
        <v>92</v>
      </c>
      <c r="E288" s="8" t="s">
        <v>294</v>
      </c>
      <c r="F288" s="8" t="s">
        <v>286</v>
      </c>
      <c r="G288" s="8" t="s">
        <v>292</v>
      </c>
      <c r="H288" s="18">
        <f ca="1">'2ERA SERVICIOS GENERALES'!F55</f>
        <v>0</v>
      </c>
      <c r="I288" s="19">
        <f ca="1">'2ERA SERVICIOS GENERALES'!G55</f>
        <v>1</v>
      </c>
      <c r="J288" s="19">
        <f ca="1">'2ERA SERVICIOS GENERALES'!H55</f>
        <v>14</v>
      </c>
      <c r="K288" s="19">
        <f ca="1">'2ERA SERVICIOS GENERALES'!I55</f>
        <v>0</v>
      </c>
      <c r="L288" s="19">
        <f ca="1">'2ERA SERVICIOS GENERALES'!J55</f>
        <v>0</v>
      </c>
      <c r="M288" s="19">
        <f ca="1">'2ERA SERVICIOS GENERALES'!K55</f>
        <v>0</v>
      </c>
      <c r="N288" s="19">
        <f ca="1">'2ERA SERVICIOS GENERALES'!L55</f>
        <v>0</v>
      </c>
      <c r="O288" s="19">
        <f ca="1">'2ERA SERVICIOS GENERALES'!M55</f>
        <v>0</v>
      </c>
      <c r="P288" s="19">
        <f ca="1">'2ERA SERVICIOS GENERALES'!N55</f>
        <v>0</v>
      </c>
      <c r="Q288" s="19">
        <f ca="1">'2ERA SERVICIOS GENERALES'!O55</f>
        <v>0</v>
      </c>
      <c r="R288" s="19">
        <f ca="1">'2ERA SERVICIOS GENERALES'!P55</f>
        <v>0</v>
      </c>
      <c r="S288" s="19">
        <f ca="1">'2ERA SERVICIOS GENERALES'!Q55</f>
        <v>0</v>
      </c>
      <c r="T288" s="19">
        <f ca="1">'2ERA SERVICIOS GENERALES'!R55</f>
        <v>0</v>
      </c>
      <c r="U288" s="21">
        <f ca="1">'2ERA SERVICIOS GENERALES'!S55</f>
        <v>15</v>
      </c>
    </row>
    <row r="289" spans="1:21" ht="39.75" customHeight="1">
      <c r="A289" s="53"/>
      <c r="B289" s="53"/>
      <c r="C289" s="12" t="str">
        <f ca="1">'1ERA SERVICIOS GENERALES'!A56</f>
        <v>REVISIÓN DE NIVELES (DIARIO)</v>
      </c>
      <c r="D289" s="8">
        <v>157</v>
      </c>
      <c r="E289" s="8" t="s">
        <v>344</v>
      </c>
      <c r="F289" s="8" t="s">
        <v>286</v>
      </c>
      <c r="G289" s="8" t="s">
        <v>292</v>
      </c>
      <c r="H289" s="18">
        <f ca="1">'2ERA SERVICIOS GENERALES'!F56</f>
        <v>0</v>
      </c>
      <c r="I289" s="19">
        <f ca="1">'2ERA SERVICIOS GENERALES'!G56</f>
        <v>7</v>
      </c>
      <c r="J289" s="19">
        <f ca="1">'2ERA SERVICIOS GENERALES'!H56</f>
        <v>37</v>
      </c>
      <c r="K289" s="19">
        <f ca="1">'2ERA SERVICIOS GENERALES'!I56</f>
        <v>0</v>
      </c>
      <c r="L289" s="19">
        <f ca="1">'2ERA SERVICIOS GENERALES'!J56</f>
        <v>0</v>
      </c>
      <c r="M289" s="19">
        <f ca="1">'2ERA SERVICIOS GENERALES'!K56</f>
        <v>0</v>
      </c>
      <c r="N289" s="19">
        <f ca="1">'2ERA SERVICIOS GENERALES'!L56</f>
        <v>0</v>
      </c>
      <c r="O289" s="19">
        <f ca="1">'2ERA SERVICIOS GENERALES'!M56</f>
        <v>0</v>
      </c>
      <c r="P289" s="19">
        <f ca="1">'2ERA SERVICIOS GENERALES'!N56</f>
        <v>0</v>
      </c>
      <c r="Q289" s="19">
        <f ca="1">'2ERA SERVICIOS GENERALES'!O56</f>
        <v>0</v>
      </c>
      <c r="R289" s="19">
        <f ca="1">'2ERA SERVICIOS GENERALES'!P56</f>
        <v>0</v>
      </c>
      <c r="S289" s="19">
        <f ca="1">'2ERA SERVICIOS GENERALES'!Q56</f>
        <v>0</v>
      </c>
      <c r="T289" s="19">
        <f ca="1">'2ERA SERVICIOS GENERALES'!R56</f>
        <v>0</v>
      </c>
      <c r="U289" s="21">
        <f ca="1">'2ERA SERVICIOS GENERALES'!S56</f>
        <v>44</v>
      </c>
    </row>
    <row r="290" spans="1:21" ht="39.75" customHeight="1">
      <c r="A290" s="53"/>
      <c r="B290" s="53"/>
      <c r="C290" s="12" t="str">
        <f ca="1">'1ERA SERVICIOS GENERALES'!A57</f>
        <v>REPARACIONES ELÉCTRICAS</v>
      </c>
      <c r="D290" s="8">
        <v>130</v>
      </c>
      <c r="E290" s="8" t="s">
        <v>294</v>
      </c>
      <c r="F290" s="8" t="s">
        <v>286</v>
      </c>
      <c r="G290" s="8" t="s">
        <v>292</v>
      </c>
      <c r="H290" s="18">
        <f ca="1">'2ERA SERVICIOS GENERALES'!F57</f>
        <v>0</v>
      </c>
      <c r="I290" s="19">
        <f ca="1">'2ERA SERVICIOS GENERALES'!G57</f>
        <v>3</v>
      </c>
      <c r="J290" s="19">
        <f ca="1">'2ERA SERVICIOS GENERALES'!H57</f>
        <v>11</v>
      </c>
      <c r="K290" s="19">
        <f ca="1">'2ERA SERVICIOS GENERALES'!I57</f>
        <v>0</v>
      </c>
      <c r="L290" s="19">
        <f ca="1">'2ERA SERVICIOS GENERALES'!J57</f>
        <v>0</v>
      </c>
      <c r="M290" s="19">
        <f ca="1">'2ERA SERVICIOS GENERALES'!K57</f>
        <v>0</v>
      </c>
      <c r="N290" s="19">
        <f ca="1">'2ERA SERVICIOS GENERALES'!L57</f>
        <v>0</v>
      </c>
      <c r="O290" s="19">
        <f ca="1">'2ERA SERVICIOS GENERALES'!M57</f>
        <v>0</v>
      </c>
      <c r="P290" s="19">
        <f ca="1">'2ERA SERVICIOS GENERALES'!N57</f>
        <v>0</v>
      </c>
      <c r="Q290" s="19">
        <f ca="1">'2ERA SERVICIOS GENERALES'!O57</f>
        <v>0</v>
      </c>
      <c r="R290" s="19">
        <f ca="1">'2ERA SERVICIOS GENERALES'!P57</f>
        <v>0</v>
      </c>
      <c r="S290" s="19">
        <f ca="1">'2ERA SERVICIOS GENERALES'!Q57</f>
        <v>0</v>
      </c>
      <c r="T290" s="19">
        <f ca="1">'2ERA SERVICIOS GENERALES'!R57</f>
        <v>0</v>
      </c>
      <c r="U290" s="21">
        <f ca="1">'2ERA SERVICIOS GENERALES'!S57</f>
        <v>14</v>
      </c>
    </row>
    <row r="291" spans="1:21" ht="39.75" customHeight="1">
      <c r="A291" s="53"/>
      <c r="B291" s="53"/>
      <c r="C291" s="12" t="str">
        <f ca="1">'1ERA SERVICIOS GENERALES'!A58</f>
        <v>REPARACION DE VEHICULOS EN TALLER MUNICIPAL</v>
      </c>
      <c r="D291" s="8">
        <v>152</v>
      </c>
      <c r="E291" s="8" t="s">
        <v>294</v>
      </c>
      <c r="F291" s="8" t="s">
        <v>286</v>
      </c>
      <c r="G291" s="8" t="s">
        <v>292</v>
      </c>
      <c r="H291" s="18">
        <f ca="1">'2ERA SERVICIOS GENERALES'!F58</f>
        <v>0</v>
      </c>
      <c r="I291" s="19">
        <f ca="1">'2ERA SERVICIOS GENERALES'!G58</f>
        <v>9</v>
      </c>
      <c r="J291" s="19">
        <f ca="1">'2ERA SERVICIOS GENERALES'!H58</f>
        <v>17</v>
      </c>
      <c r="K291" s="19">
        <f ca="1">'2ERA SERVICIOS GENERALES'!I58</f>
        <v>0</v>
      </c>
      <c r="L291" s="19">
        <f ca="1">'2ERA SERVICIOS GENERALES'!J58</f>
        <v>0</v>
      </c>
      <c r="M291" s="19">
        <f ca="1">'2ERA SERVICIOS GENERALES'!K58</f>
        <v>0</v>
      </c>
      <c r="N291" s="19">
        <f ca="1">'2ERA SERVICIOS GENERALES'!L58</f>
        <v>0</v>
      </c>
      <c r="O291" s="19">
        <f ca="1">'2ERA SERVICIOS GENERALES'!M58</f>
        <v>0</v>
      </c>
      <c r="P291" s="19">
        <f ca="1">'2ERA SERVICIOS GENERALES'!N58</f>
        <v>0</v>
      </c>
      <c r="Q291" s="19">
        <f ca="1">'2ERA SERVICIOS GENERALES'!O58</f>
        <v>0</v>
      </c>
      <c r="R291" s="19">
        <f ca="1">'2ERA SERVICIOS GENERALES'!P58</f>
        <v>0</v>
      </c>
      <c r="S291" s="19">
        <f ca="1">'2ERA SERVICIOS GENERALES'!Q58</f>
        <v>0</v>
      </c>
      <c r="T291" s="19">
        <f ca="1">'2ERA SERVICIOS GENERALES'!R58</f>
        <v>0</v>
      </c>
      <c r="U291" s="21">
        <f ca="1">'2ERA SERVICIOS GENERALES'!S58</f>
        <v>26</v>
      </c>
    </row>
    <row r="292" spans="1:21" ht="39.75" customHeight="1">
      <c r="A292" s="53"/>
      <c r="B292" s="53"/>
      <c r="C292" s="12" t="str">
        <f ca="1">'1ERA SERVICIOS GENERALES'!A59</f>
        <v>CANALIZACIÓN A TALLERES EXTERNOS (SUBROGADOS)</v>
      </c>
      <c r="D292" s="8">
        <v>858</v>
      </c>
      <c r="E292" s="8" t="s">
        <v>345</v>
      </c>
      <c r="F292" s="8" t="s">
        <v>286</v>
      </c>
      <c r="G292" s="8" t="s">
        <v>292</v>
      </c>
      <c r="H292" s="18">
        <f ca="1">'2ERA SERVICIOS GENERALES'!F59</f>
        <v>0</v>
      </c>
      <c r="I292" s="19">
        <f ca="1">'2ERA SERVICIOS GENERALES'!G59</f>
        <v>24</v>
      </c>
      <c r="J292" s="19">
        <f ca="1">'2ERA SERVICIOS GENERALES'!H59</f>
        <v>126</v>
      </c>
      <c r="K292" s="19">
        <f ca="1">'2ERA SERVICIOS GENERALES'!I59</f>
        <v>0</v>
      </c>
      <c r="L292" s="19">
        <f ca="1">'2ERA SERVICIOS GENERALES'!J59</f>
        <v>0</v>
      </c>
      <c r="M292" s="19">
        <f ca="1">'2ERA SERVICIOS GENERALES'!K59</f>
        <v>0</v>
      </c>
      <c r="N292" s="19">
        <f ca="1">'2ERA SERVICIOS GENERALES'!L59</f>
        <v>0</v>
      </c>
      <c r="O292" s="19">
        <f ca="1">'2ERA SERVICIOS GENERALES'!M59</f>
        <v>0</v>
      </c>
      <c r="P292" s="19">
        <f ca="1">'2ERA SERVICIOS GENERALES'!N59</f>
        <v>0</v>
      </c>
      <c r="Q292" s="19">
        <f ca="1">'2ERA SERVICIOS GENERALES'!O59</f>
        <v>0</v>
      </c>
      <c r="R292" s="19">
        <f ca="1">'2ERA SERVICIOS GENERALES'!P59</f>
        <v>0</v>
      </c>
      <c r="S292" s="19">
        <f ca="1">'2ERA SERVICIOS GENERALES'!Q59</f>
        <v>0</v>
      </c>
      <c r="T292" s="19">
        <f ca="1">'2ERA SERVICIOS GENERALES'!R59</f>
        <v>0</v>
      </c>
      <c r="U292" s="21">
        <f ca="1">'2ERA SERVICIOS GENERALES'!S59</f>
        <v>150</v>
      </c>
    </row>
    <row r="293" spans="1:21" ht="39.75" customHeight="1">
      <c r="A293" s="53"/>
      <c r="B293" s="53"/>
      <c r="C293" s="12" t="str">
        <f ca="1">'1ERA SERVICIOS GENERALES'!A60</f>
        <v>AFINACIONES</v>
      </c>
      <c r="D293" s="8">
        <v>515</v>
      </c>
      <c r="E293" s="8" t="s">
        <v>346</v>
      </c>
      <c r="F293" s="8" t="s">
        <v>286</v>
      </c>
      <c r="G293" s="8" t="s">
        <v>292</v>
      </c>
      <c r="H293" s="18">
        <f ca="1">'2ERA SERVICIOS GENERALES'!F60</f>
        <v>0</v>
      </c>
      <c r="I293" s="19">
        <f ca="1">'2ERA SERVICIOS GENERALES'!G60</f>
        <v>16</v>
      </c>
      <c r="J293" s="19">
        <f ca="1">'2ERA SERVICIOS GENERALES'!H60</f>
        <v>25</v>
      </c>
      <c r="K293" s="19">
        <f ca="1">'2ERA SERVICIOS GENERALES'!I60</f>
        <v>0</v>
      </c>
      <c r="L293" s="19">
        <f ca="1">'2ERA SERVICIOS GENERALES'!J60</f>
        <v>0</v>
      </c>
      <c r="M293" s="19">
        <f ca="1">'2ERA SERVICIOS GENERALES'!K60</f>
        <v>0</v>
      </c>
      <c r="N293" s="19">
        <f ca="1">'2ERA SERVICIOS GENERALES'!L60</f>
        <v>0</v>
      </c>
      <c r="O293" s="19">
        <f ca="1">'2ERA SERVICIOS GENERALES'!M60</f>
        <v>0</v>
      </c>
      <c r="P293" s="19">
        <f ca="1">'2ERA SERVICIOS GENERALES'!N60</f>
        <v>0</v>
      </c>
      <c r="Q293" s="19">
        <f ca="1">'2ERA SERVICIOS GENERALES'!O60</f>
        <v>0</v>
      </c>
      <c r="R293" s="19">
        <f ca="1">'2ERA SERVICIOS GENERALES'!P60</f>
        <v>0</v>
      </c>
      <c r="S293" s="19">
        <f ca="1">'2ERA SERVICIOS GENERALES'!Q60</f>
        <v>0</v>
      </c>
      <c r="T293" s="19">
        <f ca="1">'2ERA SERVICIOS GENERALES'!R60</f>
        <v>0</v>
      </c>
      <c r="U293" s="21">
        <f ca="1">'2ERA SERVICIOS GENERALES'!S60</f>
        <v>41</v>
      </c>
    </row>
    <row r="294" spans="1:21" ht="39.75" customHeight="1">
      <c r="A294" s="53"/>
      <c r="B294" s="53"/>
      <c r="C294" s="12" t="str">
        <f ca="1">'1ERA SERVICIOS GENERALES'!A61</f>
        <v>CAMBIO DE TAMBORES</v>
      </c>
      <c r="D294" s="8">
        <v>182</v>
      </c>
      <c r="E294" s="8" t="s">
        <v>347</v>
      </c>
      <c r="F294" s="8" t="s">
        <v>286</v>
      </c>
      <c r="G294" s="8" t="s">
        <v>292</v>
      </c>
      <c r="H294" s="18">
        <f ca="1">'2ERA SERVICIOS GENERALES'!F61</f>
        <v>0</v>
      </c>
      <c r="I294" s="19">
        <f ca="1">'2ERA SERVICIOS GENERALES'!G61</f>
        <v>4</v>
      </c>
      <c r="J294" s="19">
        <f ca="1">'2ERA SERVICIOS GENERALES'!H61</f>
        <v>18</v>
      </c>
      <c r="K294" s="19">
        <f ca="1">'2ERA SERVICIOS GENERALES'!I61</f>
        <v>0</v>
      </c>
      <c r="L294" s="19">
        <f ca="1">'2ERA SERVICIOS GENERALES'!J61</f>
        <v>0</v>
      </c>
      <c r="M294" s="19">
        <f ca="1">'2ERA SERVICIOS GENERALES'!K61</f>
        <v>0</v>
      </c>
      <c r="N294" s="19">
        <f ca="1">'2ERA SERVICIOS GENERALES'!L61</f>
        <v>0</v>
      </c>
      <c r="O294" s="19">
        <f ca="1">'2ERA SERVICIOS GENERALES'!M61</f>
        <v>0</v>
      </c>
      <c r="P294" s="19">
        <f ca="1">'2ERA SERVICIOS GENERALES'!N61</f>
        <v>0</v>
      </c>
      <c r="Q294" s="19">
        <f ca="1">'2ERA SERVICIOS GENERALES'!O61</f>
        <v>0</v>
      </c>
      <c r="R294" s="19">
        <f ca="1">'2ERA SERVICIOS GENERALES'!P61</f>
        <v>0</v>
      </c>
      <c r="S294" s="19">
        <f ca="1">'2ERA SERVICIOS GENERALES'!Q61</f>
        <v>0</v>
      </c>
      <c r="T294" s="19">
        <f ca="1">'2ERA SERVICIOS GENERALES'!R61</f>
        <v>0</v>
      </c>
      <c r="U294" s="21">
        <f ca="1">'2ERA SERVICIOS GENERALES'!S61</f>
        <v>22</v>
      </c>
    </row>
    <row r="295" spans="1:21" ht="39.75" customHeight="1">
      <c r="A295" s="53"/>
      <c r="B295" s="53"/>
      <c r="C295" s="12" t="str">
        <f ca="1">'1ERA SERVICIOS GENERALES'!A62</f>
        <v>CAMBIO DE BALATAS</v>
      </c>
      <c r="D295" s="8">
        <v>9</v>
      </c>
      <c r="E295" s="8" t="s">
        <v>348</v>
      </c>
      <c r="F295" s="8" t="s">
        <v>286</v>
      </c>
      <c r="G295" s="8" t="s">
        <v>292</v>
      </c>
      <c r="H295" s="18">
        <f ca="1">'2ERA SERVICIOS GENERALES'!F62</f>
        <v>0</v>
      </c>
      <c r="I295" s="19">
        <f ca="1">'2ERA SERVICIOS GENERALES'!G62</f>
        <v>0</v>
      </c>
      <c r="J295" s="19">
        <f ca="1">'2ERA SERVICIOS GENERALES'!H62</f>
        <v>5</v>
      </c>
      <c r="K295" s="19">
        <f ca="1">'2ERA SERVICIOS GENERALES'!I62</f>
        <v>0</v>
      </c>
      <c r="L295" s="19">
        <f ca="1">'2ERA SERVICIOS GENERALES'!J62</f>
        <v>0</v>
      </c>
      <c r="M295" s="19">
        <f ca="1">'2ERA SERVICIOS GENERALES'!K62</f>
        <v>0</v>
      </c>
      <c r="N295" s="19">
        <f ca="1">'2ERA SERVICIOS GENERALES'!L62</f>
        <v>0</v>
      </c>
      <c r="O295" s="19">
        <f ca="1">'2ERA SERVICIOS GENERALES'!M62</f>
        <v>0</v>
      </c>
      <c r="P295" s="19">
        <f ca="1">'2ERA SERVICIOS GENERALES'!N62</f>
        <v>0</v>
      </c>
      <c r="Q295" s="19">
        <f ca="1">'2ERA SERVICIOS GENERALES'!O62</f>
        <v>0</v>
      </c>
      <c r="R295" s="19">
        <f ca="1">'2ERA SERVICIOS GENERALES'!P62</f>
        <v>0</v>
      </c>
      <c r="S295" s="19">
        <f ca="1">'2ERA SERVICIOS GENERALES'!Q62</f>
        <v>0</v>
      </c>
      <c r="T295" s="19">
        <f ca="1">'2ERA SERVICIOS GENERALES'!R62</f>
        <v>0</v>
      </c>
      <c r="U295" s="21">
        <f ca="1">'2ERA SERVICIOS GENERALES'!S62</f>
        <v>5</v>
      </c>
    </row>
    <row r="296" spans="1:21" ht="39.75" customHeight="1">
      <c r="A296" s="53"/>
      <c r="B296" s="53"/>
      <c r="C296" s="12" t="str">
        <f ca="1">'1ERA SERVICIOS GENERALES'!A63</f>
        <v>REPARACIÓN DE EQUIPOS DE JARDINERÍA (DESBROZADORAS, MOTOBOMBAS, MOTOSIERRAS, ETC.)</v>
      </c>
      <c r="D296" s="8">
        <v>88</v>
      </c>
      <c r="E296" s="8" t="s">
        <v>294</v>
      </c>
      <c r="F296" s="8" t="s">
        <v>286</v>
      </c>
      <c r="G296" s="8" t="s">
        <v>292</v>
      </c>
      <c r="H296" s="18">
        <f ca="1">'2ERA SERVICIOS GENERALES'!F63</f>
        <v>0</v>
      </c>
      <c r="I296" s="19">
        <f ca="1">'2ERA SERVICIOS GENERALES'!G63</f>
        <v>2</v>
      </c>
      <c r="J296" s="19">
        <f ca="1">'2ERA SERVICIOS GENERALES'!H63</f>
        <v>24</v>
      </c>
      <c r="K296" s="19">
        <f ca="1">'2ERA SERVICIOS GENERALES'!I63</f>
        <v>0</v>
      </c>
      <c r="L296" s="19">
        <f ca="1">'2ERA SERVICIOS GENERALES'!J63</f>
        <v>0</v>
      </c>
      <c r="M296" s="19">
        <f ca="1">'2ERA SERVICIOS GENERALES'!K63</f>
        <v>0</v>
      </c>
      <c r="N296" s="19">
        <f ca="1">'2ERA SERVICIOS GENERALES'!L63</f>
        <v>0</v>
      </c>
      <c r="O296" s="19">
        <f ca="1">'2ERA SERVICIOS GENERALES'!M63</f>
        <v>0</v>
      </c>
      <c r="P296" s="19">
        <f ca="1">'2ERA SERVICIOS GENERALES'!N63</f>
        <v>0</v>
      </c>
      <c r="Q296" s="19">
        <f ca="1">'2ERA SERVICIOS GENERALES'!O63</f>
        <v>0</v>
      </c>
      <c r="R296" s="19">
        <f ca="1">'2ERA SERVICIOS GENERALES'!P63</f>
        <v>0</v>
      </c>
      <c r="S296" s="19">
        <f ca="1">'2ERA SERVICIOS GENERALES'!Q63</f>
        <v>0</v>
      </c>
      <c r="T296" s="19">
        <f ca="1">'2ERA SERVICIOS GENERALES'!R63</f>
        <v>0</v>
      </c>
      <c r="U296" s="21">
        <f ca="1">'2ERA SERVICIOS GENERALES'!S63</f>
        <v>26</v>
      </c>
    </row>
    <row r="297" spans="1:21" ht="39.75" customHeight="1">
      <c r="A297" s="53"/>
      <c r="B297" s="51"/>
      <c r="C297" s="12" t="str">
        <f ca="1">'1ERA SERVICIOS GENERALES'!A64</f>
        <v>RECARGAS DE ACEITE</v>
      </c>
      <c r="D297" s="8">
        <v>408</v>
      </c>
      <c r="E297" s="8" t="s">
        <v>349</v>
      </c>
      <c r="F297" s="8" t="s">
        <v>286</v>
      </c>
      <c r="G297" s="8" t="s">
        <v>292</v>
      </c>
      <c r="H297" s="18">
        <f ca="1">'2ERA SERVICIOS GENERALES'!F64</f>
        <v>0</v>
      </c>
      <c r="I297" s="19">
        <f ca="1">'2ERA SERVICIOS GENERALES'!G64</f>
        <v>17</v>
      </c>
      <c r="J297" s="19">
        <f ca="1">'2ERA SERVICIOS GENERALES'!H64</f>
        <v>40</v>
      </c>
      <c r="K297" s="19">
        <f ca="1">'2ERA SERVICIOS GENERALES'!I64</f>
        <v>0</v>
      </c>
      <c r="L297" s="19">
        <f ca="1">'2ERA SERVICIOS GENERALES'!J64</f>
        <v>0</v>
      </c>
      <c r="M297" s="19">
        <f ca="1">'2ERA SERVICIOS GENERALES'!K64</f>
        <v>0</v>
      </c>
      <c r="N297" s="19">
        <f ca="1">'2ERA SERVICIOS GENERALES'!L64</f>
        <v>0</v>
      </c>
      <c r="O297" s="19">
        <f ca="1">'2ERA SERVICIOS GENERALES'!M64</f>
        <v>0</v>
      </c>
      <c r="P297" s="19">
        <f ca="1">'2ERA SERVICIOS GENERALES'!N64</f>
        <v>0</v>
      </c>
      <c r="Q297" s="19">
        <f ca="1">'2ERA SERVICIOS GENERALES'!O64</f>
        <v>0</v>
      </c>
      <c r="R297" s="19">
        <f ca="1">'2ERA SERVICIOS GENERALES'!P64</f>
        <v>0</v>
      </c>
      <c r="S297" s="19">
        <f ca="1">'2ERA SERVICIOS GENERALES'!Q64</f>
        <v>0</v>
      </c>
      <c r="T297" s="19">
        <f ca="1">'2ERA SERVICIOS GENERALES'!R64</f>
        <v>0</v>
      </c>
      <c r="U297" s="21">
        <f ca="1">'2ERA SERVICIOS GENERALES'!S64</f>
        <v>57</v>
      </c>
    </row>
    <row r="298" spans="1:21" ht="39.75" customHeight="1">
      <c r="A298" s="53"/>
      <c r="B298" s="52" t="s">
        <v>350</v>
      </c>
      <c r="C298" s="12" t="str">
        <f ca="1">'1ERA SERVICIOS GENERALES'!A65</f>
        <v>INSTALACIÓN DE TABLAROCA M2</v>
      </c>
      <c r="D298" s="8">
        <v>74</v>
      </c>
      <c r="E298" s="8" t="s">
        <v>351</v>
      </c>
      <c r="F298" s="8" t="s">
        <v>286</v>
      </c>
      <c r="G298" s="8" t="s">
        <v>292</v>
      </c>
      <c r="H298" s="18">
        <f ca="1">'2ERA SERVICIOS GENERALES'!F65</f>
        <v>0</v>
      </c>
      <c r="I298" s="19">
        <f ca="1">'2ERA SERVICIOS GENERALES'!G65</f>
        <v>4</v>
      </c>
      <c r="J298" s="19">
        <f ca="1">'2ERA SERVICIOS GENERALES'!H65</f>
        <v>3</v>
      </c>
      <c r="K298" s="19">
        <f ca="1">'2ERA SERVICIOS GENERALES'!I65</f>
        <v>0</v>
      </c>
      <c r="L298" s="19">
        <f ca="1">'2ERA SERVICIOS GENERALES'!J65</f>
        <v>0</v>
      </c>
      <c r="M298" s="19">
        <f ca="1">'2ERA SERVICIOS GENERALES'!K65</f>
        <v>0</v>
      </c>
      <c r="N298" s="19">
        <f ca="1">'2ERA SERVICIOS GENERALES'!L65</f>
        <v>0</v>
      </c>
      <c r="O298" s="19">
        <f ca="1">'2ERA SERVICIOS GENERALES'!M65</f>
        <v>0</v>
      </c>
      <c r="P298" s="19">
        <f ca="1">'2ERA SERVICIOS GENERALES'!N65</f>
        <v>0</v>
      </c>
      <c r="Q298" s="19">
        <f ca="1">'2ERA SERVICIOS GENERALES'!O65</f>
        <v>0</v>
      </c>
      <c r="R298" s="19">
        <f ca="1">'2ERA SERVICIOS GENERALES'!P65</f>
        <v>0</v>
      </c>
      <c r="S298" s="19">
        <f ca="1">'2ERA SERVICIOS GENERALES'!Q65</f>
        <v>0</v>
      </c>
      <c r="T298" s="19">
        <f ca="1">'2ERA SERVICIOS GENERALES'!R65</f>
        <v>0</v>
      </c>
      <c r="U298" s="21">
        <f ca="1">'2ERA SERVICIOS GENERALES'!S65</f>
        <v>7</v>
      </c>
    </row>
    <row r="299" spans="1:21" ht="39.75" customHeight="1">
      <c r="A299" s="53"/>
      <c r="B299" s="53"/>
      <c r="C299" s="12" t="str">
        <f ca="1">'1ERA SERVICIOS GENERALES'!A66</f>
        <v>CALLES  BACHEADAS (NO. BACHES)</v>
      </c>
      <c r="D299" s="8">
        <v>30</v>
      </c>
      <c r="E299" s="8" t="s">
        <v>352</v>
      </c>
      <c r="F299" s="8" t="s">
        <v>286</v>
      </c>
      <c r="G299" s="8" t="s">
        <v>292</v>
      </c>
      <c r="H299" s="18">
        <f ca="1">'2ERA SERVICIOS GENERALES'!F66</f>
        <v>0</v>
      </c>
      <c r="I299" s="19">
        <f ca="1">'2ERA SERVICIOS GENERALES'!G66</f>
        <v>0</v>
      </c>
      <c r="J299" s="19">
        <f ca="1">'2ERA SERVICIOS GENERALES'!H66</f>
        <v>0</v>
      </c>
      <c r="K299" s="19">
        <f ca="1">'2ERA SERVICIOS GENERALES'!I66</f>
        <v>0</v>
      </c>
      <c r="L299" s="19">
        <f ca="1">'2ERA SERVICIOS GENERALES'!J66</f>
        <v>0</v>
      </c>
      <c r="M299" s="19">
        <f ca="1">'2ERA SERVICIOS GENERALES'!K66</f>
        <v>0</v>
      </c>
      <c r="N299" s="19">
        <f ca="1">'2ERA SERVICIOS GENERALES'!L66</f>
        <v>0</v>
      </c>
      <c r="O299" s="19">
        <f ca="1">'2ERA SERVICIOS GENERALES'!M66</f>
        <v>0</v>
      </c>
      <c r="P299" s="19">
        <f ca="1">'2ERA SERVICIOS GENERALES'!N66</f>
        <v>0</v>
      </c>
      <c r="Q299" s="19">
        <f ca="1">'2ERA SERVICIOS GENERALES'!O66</f>
        <v>0</v>
      </c>
      <c r="R299" s="19">
        <f ca="1">'2ERA SERVICIOS GENERALES'!P66</f>
        <v>0</v>
      </c>
      <c r="S299" s="19">
        <f ca="1">'2ERA SERVICIOS GENERALES'!Q66</f>
        <v>0</v>
      </c>
      <c r="T299" s="19">
        <f ca="1">'2ERA SERVICIOS GENERALES'!R66</f>
        <v>0</v>
      </c>
      <c r="U299" s="21">
        <f ca="1">'2ERA SERVICIOS GENERALES'!S66</f>
        <v>0</v>
      </c>
    </row>
    <row r="300" spans="1:21" ht="39.75" customHeight="1">
      <c r="A300" s="53"/>
      <c r="B300" s="53"/>
      <c r="C300" s="12" t="str">
        <f ca="1">'1ERA SERVICIOS GENERALES'!A67</f>
        <v>CARRETERAS BACHEADAS (NO. BACHES)</v>
      </c>
      <c r="D300" s="8">
        <v>2441</v>
      </c>
      <c r="E300" s="8" t="s">
        <v>353</v>
      </c>
      <c r="F300" s="8" t="s">
        <v>286</v>
      </c>
      <c r="G300" s="8" t="s">
        <v>292</v>
      </c>
      <c r="H300" s="18">
        <f ca="1">'2ERA SERVICIOS GENERALES'!F67</f>
        <v>0</v>
      </c>
      <c r="I300" s="19">
        <f ca="1">'2ERA SERVICIOS GENERALES'!G67</f>
        <v>0</v>
      </c>
      <c r="J300" s="19">
        <f ca="1">'2ERA SERVICIOS GENERALES'!H67</f>
        <v>0</v>
      </c>
      <c r="K300" s="19">
        <f ca="1">'2ERA SERVICIOS GENERALES'!I67</f>
        <v>0</v>
      </c>
      <c r="L300" s="19">
        <f ca="1">'2ERA SERVICIOS GENERALES'!J67</f>
        <v>0</v>
      </c>
      <c r="M300" s="19">
        <f ca="1">'2ERA SERVICIOS GENERALES'!K67</f>
        <v>0</v>
      </c>
      <c r="N300" s="19">
        <f ca="1">'2ERA SERVICIOS GENERALES'!L67</f>
        <v>0</v>
      </c>
      <c r="O300" s="19">
        <f ca="1">'2ERA SERVICIOS GENERALES'!M67</f>
        <v>0</v>
      </c>
      <c r="P300" s="19">
        <f ca="1">'2ERA SERVICIOS GENERALES'!N67</f>
        <v>0</v>
      </c>
      <c r="Q300" s="19">
        <f ca="1">'2ERA SERVICIOS GENERALES'!O67</f>
        <v>0</v>
      </c>
      <c r="R300" s="19">
        <f ca="1">'2ERA SERVICIOS GENERALES'!P67</f>
        <v>0</v>
      </c>
      <c r="S300" s="19">
        <f ca="1">'2ERA SERVICIOS GENERALES'!Q67</f>
        <v>0</v>
      </c>
      <c r="T300" s="19">
        <f ca="1">'2ERA SERVICIOS GENERALES'!R67</f>
        <v>0</v>
      </c>
      <c r="U300" s="21">
        <f ca="1">'2ERA SERVICIOS GENERALES'!S67</f>
        <v>0</v>
      </c>
    </row>
    <row r="301" spans="1:21" ht="39.75" customHeight="1">
      <c r="A301" s="53"/>
      <c r="B301" s="53"/>
      <c r="C301" s="12" t="str">
        <f ca="1">'1ERA SERVICIOS GENERALES'!A68</f>
        <v>NÚMERO DE ASFALTO APLICADO (TONELADAS)</v>
      </c>
      <c r="D301" s="8">
        <v>2697</v>
      </c>
      <c r="E301" s="8" t="s">
        <v>354</v>
      </c>
      <c r="F301" s="8" t="s">
        <v>286</v>
      </c>
      <c r="G301" s="8" t="s">
        <v>292</v>
      </c>
      <c r="H301" s="18">
        <f ca="1">'2ERA SERVICIOS GENERALES'!F68</f>
        <v>0</v>
      </c>
      <c r="I301" s="19">
        <f ca="1">'2ERA SERVICIOS GENERALES'!G68</f>
        <v>0</v>
      </c>
      <c r="J301" s="19">
        <f ca="1">'2ERA SERVICIOS GENERALES'!H68</f>
        <v>0</v>
      </c>
      <c r="K301" s="19">
        <f ca="1">'2ERA SERVICIOS GENERALES'!I68</f>
        <v>0</v>
      </c>
      <c r="L301" s="19">
        <f ca="1">'2ERA SERVICIOS GENERALES'!J68</f>
        <v>0</v>
      </c>
      <c r="M301" s="19">
        <f ca="1">'2ERA SERVICIOS GENERALES'!K68</f>
        <v>0</v>
      </c>
      <c r="N301" s="19">
        <f ca="1">'2ERA SERVICIOS GENERALES'!L68</f>
        <v>0</v>
      </c>
      <c r="O301" s="19">
        <f ca="1">'2ERA SERVICIOS GENERALES'!M68</f>
        <v>0</v>
      </c>
      <c r="P301" s="19">
        <f ca="1">'2ERA SERVICIOS GENERALES'!N68</f>
        <v>0</v>
      </c>
      <c r="Q301" s="19">
        <f ca="1">'2ERA SERVICIOS GENERALES'!O68</f>
        <v>0</v>
      </c>
      <c r="R301" s="19">
        <f ca="1">'2ERA SERVICIOS GENERALES'!P68</f>
        <v>0</v>
      </c>
      <c r="S301" s="19">
        <f ca="1">'2ERA SERVICIOS GENERALES'!Q68</f>
        <v>0</v>
      </c>
      <c r="T301" s="19">
        <f ca="1">'2ERA SERVICIOS GENERALES'!R68</f>
        <v>0</v>
      </c>
      <c r="U301" s="21">
        <f ca="1">'2ERA SERVICIOS GENERALES'!S68</f>
        <v>0</v>
      </c>
    </row>
    <row r="302" spans="1:21" ht="39.75" customHeight="1">
      <c r="A302" s="53"/>
      <c r="B302" s="53"/>
      <c r="C302" s="12" t="str">
        <f ca="1">'1ERA SERVICIOS GENERALES'!A69</f>
        <v>INSTALACIÓN DE POSTES PARA LÁMPARAS</v>
      </c>
      <c r="D302" s="8">
        <v>1262</v>
      </c>
      <c r="E302" s="8" t="s">
        <v>355</v>
      </c>
      <c r="F302" s="8" t="s">
        <v>286</v>
      </c>
      <c r="G302" s="8" t="s">
        <v>292</v>
      </c>
      <c r="H302" s="18">
        <f ca="1">'2ERA SERVICIOS GENERALES'!F69</f>
        <v>0</v>
      </c>
      <c r="I302" s="19">
        <f ca="1">'2ERA SERVICIOS GENERALES'!G69</f>
        <v>133</v>
      </c>
      <c r="J302" s="19">
        <f ca="1">'2ERA SERVICIOS GENERALES'!H69</f>
        <v>0</v>
      </c>
      <c r="K302" s="19">
        <f ca="1">'2ERA SERVICIOS GENERALES'!I69</f>
        <v>0</v>
      </c>
      <c r="L302" s="19">
        <f ca="1">'2ERA SERVICIOS GENERALES'!J69</f>
        <v>0</v>
      </c>
      <c r="M302" s="19">
        <f ca="1">'2ERA SERVICIOS GENERALES'!K69</f>
        <v>0</v>
      </c>
      <c r="N302" s="19">
        <f ca="1">'2ERA SERVICIOS GENERALES'!L69</f>
        <v>0</v>
      </c>
      <c r="O302" s="19">
        <f ca="1">'2ERA SERVICIOS GENERALES'!M69</f>
        <v>0</v>
      </c>
      <c r="P302" s="19">
        <f ca="1">'2ERA SERVICIOS GENERALES'!N69</f>
        <v>0</v>
      </c>
      <c r="Q302" s="19">
        <f ca="1">'2ERA SERVICIOS GENERALES'!O69</f>
        <v>0</v>
      </c>
      <c r="R302" s="19">
        <f ca="1">'2ERA SERVICIOS GENERALES'!P69</f>
        <v>0</v>
      </c>
      <c r="S302" s="19">
        <f ca="1">'2ERA SERVICIOS GENERALES'!Q69</f>
        <v>0</v>
      </c>
      <c r="T302" s="19">
        <f ca="1">'2ERA SERVICIOS GENERALES'!R69</f>
        <v>0</v>
      </c>
      <c r="U302" s="21">
        <f ca="1">'2ERA SERVICIOS GENERALES'!S69</f>
        <v>133</v>
      </c>
    </row>
    <row r="303" spans="1:21" ht="39.75" customHeight="1">
      <c r="A303" s="53"/>
      <c r="B303" s="53"/>
      <c r="C303" s="12" t="str">
        <f ca="1">'1ERA SERVICIOS GENERALES'!A70</f>
        <v>FUMIGACION EN CALLES</v>
      </c>
      <c r="D303" s="8">
        <v>0</v>
      </c>
      <c r="E303" s="8" t="s">
        <v>356</v>
      </c>
      <c r="F303" s="8" t="s">
        <v>286</v>
      </c>
      <c r="G303" s="8" t="s">
        <v>292</v>
      </c>
      <c r="H303" s="18">
        <f ca="1">'2ERA SERVICIOS GENERALES'!F70</f>
        <v>0</v>
      </c>
      <c r="I303" s="19">
        <f ca="1">'2ERA SERVICIOS GENERALES'!G70</f>
        <v>0</v>
      </c>
      <c r="J303" s="19">
        <f ca="1">'2ERA SERVICIOS GENERALES'!H70</f>
        <v>0</v>
      </c>
      <c r="K303" s="19">
        <f ca="1">'2ERA SERVICIOS GENERALES'!I70</f>
        <v>0</v>
      </c>
      <c r="L303" s="19">
        <f ca="1">'2ERA SERVICIOS GENERALES'!J70</f>
        <v>0</v>
      </c>
      <c r="M303" s="19">
        <f ca="1">'2ERA SERVICIOS GENERALES'!K70</f>
        <v>0</v>
      </c>
      <c r="N303" s="19">
        <f ca="1">'2ERA SERVICIOS GENERALES'!L70</f>
        <v>0</v>
      </c>
      <c r="O303" s="19">
        <f ca="1">'2ERA SERVICIOS GENERALES'!M70</f>
        <v>0</v>
      </c>
      <c r="P303" s="19">
        <f ca="1">'2ERA SERVICIOS GENERALES'!N70</f>
        <v>0</v>
      </c>
      <c r="Q303" s="19">
        <f ca="1">'2ERA SERVICIOS GENERALES'!O70</f>
        <v>0</v>
      </c>
      <c r="R303" s="19">
        <f ca="1">'2ERA SERVICIOS GENERALES'!P70</f>
        <v>0</v>
      </c>
      <c r="S303" s="19">
        <f ca="1">'2ERA SERVICIOS GENERALES'!Q70</f>
        <v>0</v>
      </c>
      <c r="T303" s="19">
        <f ca="1">'2ERA SERVICIOS GENERALES'!R70</f>
        <v>0</v>
      </c>
      <c r="U303" s="21">
        <f ca="1">'2ERA SERVICIOS GENERALES'!S70</f>
        <v>0</v>
      </c>
    </row>
    <row r="304" spans="1:21" ht="39.75" customHeight="1">
      <c r="A304" s="53"/>
      <c r="B304" s="53"/>
      <c r="C304" s="12" t="str">
        <f ca="1">'1ERA SERVICIOS GENERALES'!A71</f>
        <v>FUMIGACION EN EDIFICIOS Y PLAZAS PÚBLICOS</v>
      </c>
      <c r="D304" s="8">
        <v>8</v>
      </c>
      <c r="E304" s="8" t="s">
        <v>356</v>
      </c>
      <c r="F304" s="8" t="s">
        <v>286</v>
      </c>
      <c r="G304" s="8" t="s">
        <v>292</v>
      </c>
      <c r="H304" s="18">
        <f ca="1">'2ERA SERVICIOS GENERALES'!F71</f>
        <v>0</v>
      </c>
      <c r="I304" s="19">
        <f ca="1">'2ERA SERVICIOS GENERALES'!G71</f>
        <v>0</v>
      </c>
      <c r="J304" s="19">
        <f ca="1">'2ERA SERVICIOS GENERALES'!H71</f>
        <v>0</v>
      </c>
      <c r="K304" s="19">
        <f ca="1">'2ERA SERVICIOS GENERALES'!I71</f>
        <v>0</v>
      </c>
      <c r="L304" s="19">
        <f ca="1">'2ERA SERVICIOS GENERALES'!J71</f>
        <v>0</v>
      </c>
      <c r="M304" s="19">
        <f ca="1">'2ERA SERVICIOS GENERALES'!K71</f>
        <v>0</v>
      </c>
      <c r="N304" s="19">
        <f ca="1">'2ERA SERVICIOS GENERALES'!L71</f>
        <v>0</v>
      </c>
      <c r="O304" s="19">
        <f ca="1">'2ERA SERVICIOS GENERALES'!M71</f>
        <v>0</v>
      </c>
      <c r="P304" s="19">
        <f ca="1">'2ERA SERVICIOS GENERALES'!N71</f>
        <v>0</v>
      </c>
      <c r="Q304" s="19">
        <f ca="1">'2ERA SERVICIOS GENERALES'!O71</f>
        <v>0</v>
      </c>
      <c r="R304" s="19">
        <f ca="1">'2ERA SERVICIOS GENERALES'!P71</f>
        <v>0</v>
      </c>
      <c r="S304" s="19">
        <f ca="1">'2ERA SERVICIOS GENERALES'!Q71</f>
        <v>0</v>
      </c>
      <c r="T304" s="19">
        <f ca="1">'2ERA SERVICIOS GENERALES'!R71</f>
        <v>0</v>
      </c>
      <c r="U304" s="21">
        <f ca="1">'2ERA SERVICIOS GENERALES'!S71</f>
        <v>0</v>
      </c>
    </row>
    <row r="305" spans="1:21" ht="39.75" customHeight="1">
      <c r="A305" s="53"/>
      <c r="B305" s="53"/>
      <c r="C305" s="12" t="str">
        <f ca="1">'1ERA SERVICIOS GENERALES'!A72</f>
        <v>IMPERMEABILIZACIONES EN EDIFICIOS PÚBLICOS</v>
      </c>
      <c r="D305" s="8">
        <v>31</v>
      </c>
      <c r="E305" s="8" t="s">
        <v>357</v>
      </c>
      <c r="F305" s="8" t="s">
        <v>286</v>
      </c>
      <c r="G305" s="8" t="s">
        <v>292</v>
      </c>
      <c r="H305" s="18">
        <f ca="1">'2ERA SERVICIOS GENERALES'!F72</f>
        <v>0</v>
      </c>
      <c r="I305" s="19">
        <f ca="1">'2ERA SERVICIOS GENERALES'!G72</f>
        <v>0</v>
      </c>
      <c r="J305" s="19">
        <f ca="1">'2ERA SERVICIOS GENERALES'!H72</f>
        <v>0</v>
      </c>
      <c r="K305" s="19">
        <f ca="1">'2ERA SERVICIOS GENERALES'!I72</f>
        <v>0</v>
      </c>
      <c r="L305" s="19">
        <f ca="1">'2ERA SERVICIOS GENERALES'!J72</f>
        <v>0</v>
      </c>
      <c r="M305" s="19">
        <f ca="1">'2ERA SERVICIOS GENERALES'!K72</f>
        <v>0</v>
      </c>
      <c r="N305" s="19">
        <f ca="1">'2ERA SERVICIOS GENERALES'!L72</f>
        <v>0</v>
      </c>
      <c r="O305" s="19">
        <f ca="1">'2ERA SERVICIOS GENERALES'!M72</f>
        <v>0</v>
      </c>
      <c r="P305" s="19">
        <f ca="1">'2ERA SERVICIOS GENERALES'!N72</f>
        <v>0</v>
      </c>
      <c r="Q305" s="19">
        <f ca="1">'2ERA SERVICIOS GENERALES'!O72</f>
        <v>0</v>
      </c>
      <c r="R305" s="19">
        <f ca="1">'2ERA SERVICIOS GENERALES'!P72</f>
        <v>0</v>
      </c>
      <c r="S305" s="19">
        <f ca="1">'2ERA SERVICIOS GENERALES'!Q72</f>
        <v>0</v>
      </c>
      <c r="T305" s="19">
        <f ca="1">'2ERA SERVICIOS GENERALES'!R72</f>
        <v>0</v>
      </c>
      <c r="U305" s="21">
        <f ca="1">'2ERA SERVICIOS GENERALES'!S72</f>
        <v>0</v>
      </c>
    </row>
    <row r="306" spans="1:21" ht="39.75" customHeight="1">
      <c r="A306" s="53"/>
      <c r="B306" s="53"/>
      <c r="C306" s="12" t="str">
        <f ca="1">'1ERA SERVICIOS GENERALES'!A73</f>
        <v>IMPERMEABILIZACIONES EN ESCUELAS</v>
      </c>
      <c r="D306" s="8">
        <v>8</v>
      </c>
      <c r="E306" s="8" t="s">
        <v>358</v>
      </c>
      <c r="F306" s="8" t="s">
        <v>286</v>
      </c>
      <c r="G306" s="8" t="s">
        <v>292</v>
      </c>
      <c r="H306" s="18">
        <f ca="1">'2ERA SERVICIOS GENERALES'!F73</f>
        <v>0</v>
      </c>
      <c r="I306" s="19">
        <f ca="1">'2ERA SERVICIOS GENERALES'!G73</f>
        <v>0</v>
      </c>
      <c r="J306" s="19">
        <f ca="1">'2ERA SERVICIOS GENERALES'!H73</f>
        <v>0</v>
      </c>
      <c r="K306" s="19">
        <f ca="1">'2ERA SERVICIOS GENERALES'!I73</f>
        <v>0</v>
      </c>
      <c r="L306" s="19">
        <f ca="1">'2ERA SERVICIOS GENERALES'!J73</f>
        <v>0</v>
      </c>
      <c r="M306" s="19">
        <f ca="1">'2ERA SERVICIOS GENERALES'!K73</f>
        <v>0</v>
      </c>
      <c r="N306" s="19">
        <f ca="1">'2ERA SERVICIOS GENERALES'!L73</f>
        <v>0</v>
      </c>
      <c r="O306" s="19">
        <f ca="1">'2ERA SERVICIOS GENERALES'!M73</f>
        <v>0</v>
      </c>
      <c r="P306" s="19">
        <f ca="1">'2ERA SERVICIOS GENERALES'!N73</f>
        <v>0</v>
      </c>
      <c r="Q306" s="19">
        <f ca="1">'2ERA SERVICIOS GENERALES'!O73</f>
        <v>0</v>
      </c>
      <c r="R306" s="19">
        <f ca="1">'2ERA SERVICIOS GENERALES'!P73</f>
        <v>0</v>
      </c>
      <c r="S306" s="19">
        <f ca="1">'2ERA SERVICIOS GENERALES'!Q73</f>
        <v>0</v>
      </c>
      <c r="T306" s="19">
        <f ca="1">'2ERA SERVICIOS GENERALES'!R73</f>
        <v>0</v>
      </c>
      <c r="U306" s="21">
        <f ca="1">'2ERA SERVICIOS GENERALES'!S73</f>
        <v>0</v>
      </c>
    </row>
    <row r="307" spans="1:21" ht="39.75" customHeight="1">
      <c r="A307" s="53"/>
      <c r="B307" s="53"/>
      <c r="C307" s="12" t="str">
        <f ca="1">'1ERA SERVICIOS GENERALES'!A74</f>
        <v>ACCIONES DE INTERVENCION CON PINTUR A UNIDADES DEPORTIVAS</v>
      </c>
      <c r="D307" s="8">
        <v>0</v>
      </c>
      <c r="E307" s="8" t="s">
        <v>359</v>
      </c>
      <c r="F307" s="8" t="s">
        <v>286</v>
      </c>
      <c r="G307" s="8" t="s">
        <v>292</v>
      </c>
      <c r="H307" s="18">
        <f ca="1">'2ERA SERVICIOS GENERALES'!F74</f>
        <v>0</v>
      </c>
      <c r="I307" s="19">
        <f ca="1">'2ERA SERVICIOS GENERALES'!G74</f>
        <v>0</v>
      </c>
      <c r="J307" s="19">
        <f ca="1">'2ERA SERVICIOS GENERALES'!H74</f>
        <v>0</v>
      </c>
      <c r="K307" s="19">
        <f ca="1">'2ERA SERVICIOS GENERALES'!I74</f>
        <v>0</v>
      </c>
      <c r="L307" s="19">
        <f ca="1">'2ERA SERVICIOS GENERALES'!J74</f>
        <v>0</v>
      </c>
      <c r="M307" s="19">
        <f ca="1">'2ERA SERVICIOS GENERALES'!K74</f>
        <v>0</v>
      </c>
      <c r="N307" s="19">
        <f ca="1">'2ERA SERVICIOS GENERALES'!L74</f>
        <v>0</v>
      </c>
      <c r="O307" s="19">
        <f ca="1">'2ERA SERVICIOS GENERALES'!M74</f>
        <v>0</v>
      </c>
      <c r="P307" s="19">
        <f ca="1">'2ERA SERVICIOS GENERALES'!N74</f>
        <v>0</v>
      </c>
      <c r="Q307" s="19">
        <f ca="1">'2ERA SERVICIOS GENERALES'!O74</f>
        <v>0</v>
      </c>
      <c r="R307" s="19">
        <f ca="1">'2ERA SERVICIOS GENERALES'!P74</f>
        <v>0</v>
      </c>
      <c r="S307" s="19">
        <f ca="1">'2ERA SERVICIOS GENERALES'!Q74</f>
        <v>0</v>
      </c>
      <c r="T307" s="19">
        <f ca="1">'2ERA SERVICIOS GENERALES'!R74</f>
        <v>0</v>
      </c>
      <c r="U307" s="21">
        <f ca="1">'2ERA SERVICIOS GENERALES'!S74</f>
        <v>0</v>
      </c>
    </row>
    <row r="308" spans="1:21" ht="39.75" customHeight="1">
      <c r="A308" s="53"/>
      <c r="B308" s="53"/>
      <c r="C308" s="12" t="str">
        <f ca="1">'1ERA SERVICIOS GENERALES'!A75</f>
        <v>ACCIONES DE INTERVENCION CON PINTURA A OFICINAS Y FACHADAS DE EDIFICIOS PÚBLICOS</v>
      </c>
      <c r="D308" s="8">
        <v>32</v>
      </c>
      <c r="E308" s="8" t="s">
        <v>359</v>
      </c>
      <c r="F308" s="8" t="s">
        <v>286</v>
      </c>
      <c r="G308" s="8" t="s">
        <v>292</v>
      </c>
      <c r="H308" s="18">
        <f ca="1">'2ERA SERVICIOS GENERALES'!F75</f>
        <v>0</v>
      </c>
      <c r="I308" s="19">
        <f ca="1">'2ERA SERVICIOS GENERALES'!G75</f>
        <v>0</v>
      </c>
      <c r="J308" s="19">
        <f ca="1">'2ERA SERVICIOS GENERALES'!H75</f>
        <v>0</v>
      </c>
      <c r="K308" s="19">
        <f ca="1">'2ERA SERVICIOS GENERALES'!I75</f>
        <v>0</v>
      </c>
      <c r="L308" s="19">
        <f ca="1">'2ERA SERVICIOS GENERALES'!J75</f>
        <v>0</v>
      </c>
      <c r="M308" s="19">
        <f ca="1">'2ERA SERVICIOS GENERALES'!K75</f>
        <v>0</v>
      </c>
      <c r="N308" s="19">
        <f ca="1">'2ERA SERVICIOS GENERALES'!L75</f>
        <v>0</v>
      </c>
      <c r="O308" s="19">
        <f ca="1">'2ERA SERVICIOS GENERALES'!M75</f>
        <v>0</v>
      </c>
      <c r="P308" s="19">
        <f ca="1">'2ERA SERVICIOS GENERALES'!N75</f>
        <v>0</v>
      </c>
      <c r="Q308" s="19">
        <f ca="1">'2ERA SERVICIOS GENERALES'!O75</f>
        <v>0</v>
      </c>
      <c r="R308" s="19">
        <f ca="1">'2ERA SERVICIOS GENERALES'!P75</f>
        <v>0</v>
      </c>
      <c r="S308" s="19">
        <f ca="1">'2ERA SERVICIOS GENERALES'!Q75</f>
        <v>0</v>
      </c>
      <c r="T308" s="19">
        <f ca="1">'2ERA SERVICIOS GENERALES'!R75</f>
        <v>0</v>
      </c>
      <c r="U308" s="21">
        <f ca="1">'2ERA SERVICIOS GENERALES'!S75</f>
        <v>0</v>
      </c>
    </row>
    <row r="309" spans="1:21" ht="39.75" customHeight="1">
      <c r="A309" s="53"/>
      <c r="B309" s="53"/>
      <c r="C309" s="12" t="str">
        <f ca="1">'1ERA SERVICIOS GENERALES'!A76</f>
        <v>ACCIONES DE INTERVENCION CON PINTURA PLAZAS PÚBLICAS</v>
      </c>
      <c r="D309" s="8">
        <v>92</v>
      </c>
      <c r="E309" s="8" t="s">
        <v>359</v>
      </c>
      <c r="F309" s="8" t="s">
        <v>286</v>
      </c>
      <c r="G309" s="8" t="s">
        <v>292</v>
      </c>
      <c r="H309" s="18">
        <f ca="1">'2ERA SERVICIOS GENERALES'!F76</f>
        <v>0</v>
      </c>
      <c r="I309" s="19">
        <f ca="1">'2ERA SERVICIOS GENERALES'!G76</f>
        <v>32</v>
      </c>
      <c r="J309" s="19">
        <f ca="1">'2ERA SERVICIOS GENERALES'!H76</f>
        <v>0</v>
      </c>
      <c r="K309" s="19">
        <f ca="1">'2ERA SERVICIOS GENERALES'!I76</f>
        <v>0</v>
      </c>
      <c r="L309" s="19">
        <f ca="1">'2ERA SERVICIOS GENERALES'!J76</f>
        <v>0</v>
      </c>
      <c r="M309" s="19">
        <f ca="1">'2ERA SERVICIOS GENERALES'!K76</f>
        <v>0</v>
      </c>
      <c r="N309" s="19">
        <f ca="1">'2ERA SERVICIOS GENERALES'!L76</f>
        <v>0</v>
      </c>
      <c r="O309" s="19">
        <f ca="1">'2ERA SERVICIOS GENERALES'!M76</f>
        <v>0</v>
      </c>
      <c r="P309" s="19">
        <f ca="1">'2ERA SERVICIOS GENERALES'!N76</f>
        <v>0</v>
      </c>
      <c r="Q309" s="19">
        <f ca="1">'2ERA SERVICIOS GENERALES'!O76</f>
        <v>0</v>
      </c>
      <c r="R309" s="19">
        <f ca="1">'2ERA SERVICIOS GENERALES'!P76</f>
        <v>0</v>
      </c>
      <c r="S309" s="19">
        <f ca="1">'2ERA SERVICIOS GENERALES'!Q76</f>
        <v>0</v>
      </c>
      <c r="T309" s="19">
        <f ca="1">'2ERA SERVICIOS GENERALES'!R76</f>
        <v>0</v>
      </c>
      <c r="U309" s="21">
        <f ca="1">'2ERA SERVICIOS GENERALES'!S76</f>
        <v>32</v>
      </c>
    </row>
    <row r="310" spans="1:21" ht="39.75" customHeight="1">
      <c r="A310" s="53"/>
      <c r="B310" s="53"/>
      <c r="C310" s="12" t="str">
        <f ca="1">'1ERA SERVICIOS GENERALES'!A77</f>
        <v>ACCIONES DE INTERVENCION CON PINTURA A  PARQUES</v>
      </c>
      <c r="D310" s="8">
        <v>26</v>
      </c>
      <c r="E310" s="8" t="s">
        <v>359</v>
      </c>
      <c r="F310" s="8" t="s">
        <v>286</v>
      </c>
      <c r="G310" s="8" t="s">
        <v>292</v>
      </c>
      <c r="H310" s="18">
        <f ca="1">'2ERA SERVICIOS GENERALES'!F77</f>
        <v>0</v>
      </c>
      <c r="I310" s="19">
        <f ca="1">'2ERA SERVICIOS GENERALES'!G77</f>
        <v>15</v>
      </c>
      <c r="J310" s="19">
        <f ca="1">'2ERA SERVICIOS GENERALES'!H77</f>
        <v>0</v>
      </c>
      <c r="K310" s="19">
        <f ca="1">'2ERA SERVICIOS GENERALES'!I77</f>
        <v>0</v>
      </c>
      <c r="L310" s="19">
        <f ca="1">'2ERA SERVICIOS GENERALES'!J77</f>
        <v>0</v>
      </c>
      <c r="M310" s="19">
        <f ca="1">'2ERA SERVICIOS GENERALES'!K77</f>
        <v>0</v>
      </c>
      <c r="N310" s="19">
        <f ca="1">'2ERA SERVICIOS GENERALES'!L77</f>
        <v>0</v>
      </c>
      <c r="O310" s="19">
        <f ca="1">'2ERA SERVICIOS GENERALES'!M77</f>
        <v>0</v>
      </c>
      <c r="P310" s="19">
        <f ca="1">'2ERA SERVICIOS GENERALES'!N77</f>
        <v>0</v>
      </c>
      <c r="Q310" s="19">
        <f ca="1">'2ERA SERVICIOS GENERALES'!O77</f>
        <v>0</v>
      </c>
      <c r="R310" s="19">
        <f ca="1">'2ERA SERVICIOS GENERALES'!P77</f>
        <v>0</v>
      </c>
      <c r="S310" s="19">
        <f ca="1">'2ERA SERVICIOS GENERALES'!Q77</f>
        <v>0</v>
      </c>
      <c r="T310" s="19">
        <f ca="1">'2ERA SERVICIOS GENERALES'!R77</f>
        <v>0</v>
      </c>
      <c r="U310" s="21">
        <f ca="1">'2ERA SERVICIOS GENERALES'!S77</f>
        <v>15</v>
      </c>
    </row>
    <row r="311" spans="1:21" ht="39.75" customHeight="1">
      <c r="A311" s="53"/>
      <c r="B311" s="53"/>
      <c r="C311" s="12" t="str">
        <f ca="1">'1ERA SERVICIOS GENERALES'!A78</f>
        <v>ACCIONES DE INTERVENCION CON PINTUR A A ESCUELAS</v>
      </c>
      <c r="D311" s="8">
        <v>3</v>
      </c>
      <c r="E311" s="8" t="s">
        <v>359</v>
      </c>
      <c r="F311" s="8" t="s">
        <v>286</v>
      </c>
      <c r="G311" s="8" t="s">
        <v>292</v>
      </c>
      <c r="H311" s="18">
        <f ca="1">'2ERA SERVICIOS GENERALES'!F78</f>
        <v>0</v>
      </c>
      <c r="I311" s="19">
        <f ca="1">'2ERA SERVICIOS GENERALES'!G78</f>
        <v>0</v>
      </c>
      <c r="J311" s="19">
        <f ca="1">'2ERA SERVICIOS GENERALES'!H78</f>
        <v>0</v>
      </c>
      <c r="K311" s="19">
        <f ca="1">'2ERA SERVICIOS GENERALES'!I78</f>
        <v>0</v>
      </c>
      <c r="L311" s="19">
        <f ca="1">'2ERA SERVICIOS GENERALES'!J78</f>
        <v>0</v>
      </c>
      <c r="M311" s="19">
        <f ca="1">'2ERA SERVICIOS GENERALES'!K78</f>
        <v>0</v>
      </c>
      <c r="N311" s="19">
        <f ca="1">'2ERA SERVICIOS GENERALES'!L78</f>
        <v>0</v>
      </c>
      <c r="O311" s="19">
        <f ca="1">'2ERA SERVICIOS GENERALES'!M78</f>
        <v>0</v>
      </c>
      <c r="P311" s="19">
        <f ca="1">'2ERA SERVICIOS GENERALES'!N78</f>
        <v>0</v>
      </c>
      <c r="Q311" s="19">
        <f ca="1">'2ERA SERVICIOS GENERALES'!O78</f>
        <v>0</v>
      </c>
      <c r="R311" s="19">
        <f ca="1">'2ERA SERVICIOS GENERALES'!P78</f>
        <v>0</v>
      </c>
      <c r="S311" s="19">
        <f ca="1">'2ERA SERVICIOS GENERALES'!Q78</f>
        <v>0</v>
      </c>
      <c r="T311" s="19">
        <f ca="1">'2ERA SERVICIOS GENERALES'!R78</f>
        <v>0</v>
      </c>
      <c r="U311" s="21">
        <f ca="1">'2ERA SERVICIOS GENERALES'!S78</f>
        <v>0</v>
      </c>
    </row>
    <row r="312" spans="1:21" ht="39.75" customHeight="1">
      <c r="A312" s="53"/>
      <c r="B312" s="53"/>
      <c r="C312" s="12" t="str">
        <f ca="1">'1ERA SERVICIOS GENERALES'!A79</f>
        <v>PINTURA (M2) APLICADA</v>
      </c>
      <c r="D312" s="8">
        <v>4</v>
      </c>
      <c r="E312" s="8" t="s">
        <v>360</v>
      </c>
      <c r="F312" s="8" t="s">
        <v>286</v>
      </c>
      <c r="G312" s="8" t="s">
        <v>292</v>
      </c>
      <c r="H312" s="18">
        <f ca="1">'2ERA SERVICIOS GENERALES'!F79</f>
        <v>0</v>
      </c>
      <c r="I312" s="19">
        <f ca="1">'2ERA SERVICIOS GENERALES'!G79</f>
        <v>3</v>
      </c>
      <c r="J312" s="19">
        <f ca="1">'2ERA SERVICIOS GENERALES'!H79</f>
        <v>0</v>
      </c>
      <c r="K312" s="19">
        <f ca="1">'2ERA SERVICIOS GENERALES'!I79</f>
        <v>0</v>
      </c>
      <c r="L312" s="19">
        <f ca="1">'2ERA SERVICIOS GENERALES'!J79</f>
        <v>0</v>
      </c>
      <c r="M312" s="19">
        <f ca="1">'2ERA SERVICIOS GENERALES'!K79</f>
        <v>0</v>
      </c>
      <c r="N312" s="19">
        <f ca="1">'2ERA SERVICIOS GENERALES'!L79</f>
        <v>0</v>
      </c>
      <c r="O312" s="19">
        <f ca="1">'2ERA SERVICIOS GENERALES'!M79</f>
        <v>0</v>
      </c>
      <c r="P312" s="19">
        <f ca="1">'2ERA SERVICIOS GENERALES'!N79</f>
        <v>0</v>
      </c>
      <c r="Q312" s="19">
        <f ca="1">'2ERA SERVICIOS GENERALES'!O79</f>
        <v>0</v>
      </c>
      <c r="R312" s="19">
        <f ca="1">'2ERA SERVICIOS GENERALES'!P79</f>
        <v>0</v>
      </c>
      <c r="S312" s="19">
        <f ca="1">'2ERA SERVICIOS GENERALES'!Q79</f>
        <v>0</v>
      </c>
      <c r="T312" s="19">
        <f ca="1">'2ERA SERVICIOS GENERALES'!R79</f>
        <v>0</v>
      </c>
      <c r="U312" s="21">
        <f ca="1">'2ERA SERVICIOS GENERALES'!S79</f>
        <v>3</v>
      </c>
    </row>
    <row r="313" spans="1:21" ht="39.75" customHeight="1">
      <c r="A313" s="53"/>
      <c r="B313" s="53"/>
      <c r="C313" s="12" t="str">
        <f ca="1">'1ERA SERVICIOS GENERALES'!A80</f>
        <v>ACCIONES DE MANTENIMIENTO A UNIDADES DEPORTIVAS Y CAMPOS DE FÚTBOL EN LA CABECERA MUNICIPAL</v>
      </c>
      <c r="D313" s="8">
        <v>11800</v>
      </c>
      <c r="E313" s="8" t="s">
        <v>361</v>
      </c>
      <c r="F313" s="8" t="s">
        <v>286</v>
      </c>
      <c r="G313" s="8" t="s">
        <v>292</v>
      </c>
      <c r="H313" s="18">
        <f ca="1">'2ERA SERVICIOS GENERALES'!F80</f>
        <v>0</v>
      </c>
      <c r="I313" s="19">
        <f ca="1">'2ERA SERVICIOS GENERALES'!G80</f>
        <v>0</v>
      </c>
      <c r="J313" s="19">
        <f ca="1">'2ERA SERVICIOS GENERALES'!H80</f>
        <v>0</v>
      </c>
      <c r="K313" s="19">
        <f ca="1">'2ERA SERVICIOS GENERALES'!I80</f>
        <v>0</v>
      </c>
      <c r="L313" s="19">
        <f ca="1">'2ERA SERVICIOS GENERALES'!J80</f>
        <v>0</v>
      </c>
      <c r="M313" s="19">
        <f ca="1">'2ERA SERVICIOS GENERALES'!K80</f>
        <v>0</v>
      </c>
      <c r="N313" s="19">
        <f ca="1">'2ERA SERVICIOS GENERALES'!L80</f>
        <v>0</v>
      </c>
      <c r="O313" s="19">
        <f ca="1">'2ERA SERVICIOS GENERALES'!M80</f>
        <v>0</v>
      </c>
      <c r="P313" s="19">
        <f ca="1">'2ERA SERVICIOS GENERALES'!N80</f>
        <v>0</v>
      </c>
      <c r="Q313" s="19">
        <f ca="1">'2ERA SERVICIOS GENERALES'!O80</f>
        <v>0</v>
      </c>
      <c r="R313" s="19">
        <f ca="1">'2ERA SERVICIOS GENERALES'!P80</f>
        <v>0</v>
      </c>
      <c r="S313" s="19">
        <f ca="1">'2ERA SERVICIOS GENERALES'!Q80</f>
        <v>0</v>
      </c>
      <c r="T313" s="19">
        <f ca="1">'2ERA SERVICIOS GENERALES'!R80</f>
        <v>0</v>
      </c>
      <c r="U313" s="21">
        <f ca="1">'2ERA SERVICIOS GENERALES'!S80</f>
        <v>0</v>
      </c>
    </row>
    <row r="314" spans="1:21" ht="39.75" customHeight="1">
      <c r="A314" s="53"/>
      <c r="B314" s="53"/>
      <c r="C314" s="12" t="str">
        <f ca="1">'1ERA SERVICIOS GENERALES'!A81</f>
        <v>ACCIONES DE MANTENIMIENTO A PLAZAS PÚBLICAS</v>
      </c>
      <c r="D314" s="8">
        <v>1038</v>
      </c>
      <c r="E314" s="8" t="s">
        <v>361</v>
      </c>
      <c r="F314" s="8" t="s">
        <v>286</v>
      </c>
      <c r="G314" s="8" t="s">
        <v>292</v>
      </c>
      <c r="H314" s="18">
        <f ca="1">'2ERA SERVICIOS GENERALES'!F81</f>
        <v>0</v>
      </c>
      <c r="I314" s="19">
        <f ca="1">'2ERA SERVICIOS GENERALES'!G81</f>
        <v>100</v>
      </c>
      <c r="J314" s="19">
        <f ca="1">'2ERA SERVICIOS GENERALES'!H81</f>
        <v>0</v>
      </c>
      <c r="K314" s="19">
        <f ca="1">'2ERA SERVICIOS GENERALES'!I81</f>
        <v>0</v>
      </c>
      <c r="L314" s="19">
        <f ca="1">'2ERA SERVICIOS GENERALES'!J81</f>
        <v>0</v>
      </c>
      <c r="M314" s="19">
        <f ca="1">'2ERA SERVICIOS GENERALES'!K81</f>
        <v>0</v>
      </c>
      <c r="N314" s="19">
        <f ca="1">'2ERA SERVICIOS GENERALES'!L81</f>
        <v>0</v>
      </c>
      <c r="O314" s="19">
        <f ca="1">'2ERA SERVICIOS GENERALES'!M81</f>
        <v>0</v>
      </c>
      <c r="P314" s="19">
        <f ca="1">'2ERA SERVICIOS GENERALES'!N81</f>
        <v>0</v>
      </c>
      <c r="Q314" s="19">
        <f ca="1">'2ERA SERVICIOS GENERALES'!O81</f>
        <v>0</v>
      </c>
      <c r="R314" s="19">
        <f ca="1">'2ERA SERVICIOS GENERALES'!P81</f>
        <v>0</v>
      </c>
      <c r="S314" s="19">
        <f ca="1">'2ERA SERVICIOS GENERALES'!Q81</f>
        <v>0</v>
      </c>
      <c r="T314" s="19">
        <f ca="1">'2ERA SERVICIOS GENERALES'!R81</f>
        <v>0</v>
      </c>
      <c r="U314" s="21">
        <f ca="1">'2ERA SERVICIOS GENERALES'!S81</f>
        <v>100</v>
      </c>
    </row>
    <row r="315" spans="1:21" ht="39.75" customHeight="1">
      <c r="A315" s="53"/>
      <c r="B315" s="51"/>
      <c r="C315" s="12" t="str">
        <f ca="1">'1ERA SERVICIOS GENERALES'!A82</f>
        <v>ACCIONES DE MANTENIMIENTO A EDIFICIOS PÚBLICOS</v>
      </c>
      <c r="D315" s="8">
        <v>5</v>
      </c>
      <c r="E315" s="8" t="s">
        <v>361</v>
      </c>
      <c r="F315" s="8" t="s">
        <v>286</v>
      </c>
      <c r="G315" s="8" t="s">
        <v>292</v>
      </c>
      <c r="H315" s="18">
        <f ca="1">'2ERA SERVICIOS GENERALES'!F82</f>
        <v>0</v>
      </c>
      <c r="I315" s="19">
        <f ca="1">'2ERA SERVICIOS GENERALES'!G82</f>
        <v>0</v>
      </c>
      <c r="J315" s="19">
        <f ca="1">'2ERA SERVICIOS GENERALES'!H82</f>
        <v>0</v>
      </c>
      <c r="K315" s="19">
        <f ca="1">'2ERA SERVICIOS GENERALES'!I82</f>
        <v>0</v>
      </c>
      <c r="L315" s="19">
        <f ca="1">'2ERA SERVICIOS GENERALES'!J82</f>
        <v>0</v>
      </c>
      <c r="M315" s="19">
        <f ca="1">'2ERA SERVICIOS GENERALES'!K82</f>
        <v>0</v>
      </c>
      <c r="N315" s="19">
        <f ca="1">'2ERA SERVICIOS GENERALES'!L82</f>
        <v>0</v>
      </c>
      <c r="O315" s="19">
        <f ca="1">'2ERA SERVICIOS GENERALES'!M82</f>
        <v>0</v>
      </c>
      <c r="P315" s="19">
        <f ca="1">'2ERA SERVICIOS GENERALES'!N82</f>
        <v>0</v>
      </c>
      <c r="Q315" s="19">
        <f ca="1">'2ERA SERVICIOS GENERALES'!O82</f>
        <v>0</v>
      </c>
      <c r="R315" s="19">
        <f ca="1">'2ERA SERVICIOS GENERALES'!P82</f>
        <v>0</v>
      </c>
      <c r="S315" s="19">
        <f ca="1">'2ERA SERVICIOS GENERALES'!Q82</f>
        <v>0</v>
      </c>
      <c r="T315" s="19">
        <f ca="1">'2ERA SERVICIOS GENERALES'!R82</f>
        <v>0</v>
      </c>
      <c r="U315" s="21">
        <f ca="1">'2ERA SERVICIOS GENERALES'!S82</f>
        <v>0</v>
      </c>
    </row>
    <row r="316" spans="1:21" ht="39.75" customHeight="1">
      <c r="A316" s="53"/>
      <c r="B316" s="52" t="s">
        <v>362</v>
      </c>
      <c r="C316" s="12" t="str">
        <f ca="1">'1ERA SERVICIOS GENERALES'!A83</f>
        <v>SACRIFICIO HUMANITARIO DE PERROS Y GATOS</v>
      </c>
      <c r="D316" s="8">
        <v>16</v>
      </c>
      <c r="E316" s="8" t="s">
        <v>363</v>
      </c>
      <c r="F316" s="8" t="s">
        <v>286</v>
      </c>
      <c r="G316" s="8" t="s">
        <v>292</v>
      </c>
      <c r="H316" s="18">
        <f ca="1">'2ERA SERVICIOS GENERALES'!F83</f>
        <v>0</v>
      </c>
      <c r="I316" s="19">
        <f ca="1">'2ERA SERVICIOS GENERALES'!G83</f>
        <v>0</v>
      </c>
      <c r="J316" s="19">
        <f ca="1">'2ERA SERVICIOS GENERALES'!H83</f>
        <v>0</v>
      </c>
      <c r="K316" s="19">
        <f ca="1">'2ERA SERVICIOS GENERALES'!I83</f>
        <v>0</v>
      </c>
      <c r="L316" s="19">
        <f ca="1">'2ERA SERVICIOS GENERALES'!J83</f>
        <v>0</v>
      </c>
      <c r="M316" s="19">
        <f ca="1">'2ERA SERVICIOS GENERALES'!K83</f>
        <v>0</v>
      </c>
      <c r="N316" s="19">
        <f ca="1">'2ERA SERVICIOS GENERALES'!L83</f>
        <v>0</v>
      </c>
      <c r="O316" s="19">
        <f ca="1">'2ERA SERVICIOS GENERALES'!M83</f>
        <v>0</v>
      </c>
      <c r="P316" s="19">
        <f ca="1">'2ERA SERVICIOS GENERALES'!N83</f>
        <v>0</v>
      </c>
      <c r="Q316" s="19">
        <f ca="1">'2ERA SERVICIOS GENERALES'!O83</f>
        <v>0</v>
      </c>
      <c r="R316" s="19">
        <f ca="1">'2ERA SERVICIOS GENERALES'!P83</f>
        <v>0</v>
      </c>
      <c r="S316" s="19">
        <f ca="1">'2ERA SERVICIOS GENERALES'!Q83</f>
        <v>0</v>
      </c>
      <c r="T316" s="19">
        <f ca="1">'2ERA SERVICIOS GENERALES'!R83</f>
        <v>0</v>
      </c>
      <c r="U316" s="21">
        <f ca="1">'2ERA SERVICIOS GENERALES'!S83</f>
        <v>0</v>
      </c>
    </row>
    <row r="317" spans="1:21" ht="39.75" customHeight="1">
      <c r="A317" s="53"/>
      <c r="B317" s="53"/>
      <c r="C317" s="12" t="str">
        <f ca="1">'1ERA SERVICIOS GENERALES'!A84</f>
        <v>ANIMALES EN RESGUARDO EN UNIDAD DE CONTROL CANINO</v>
      </c>
      <c r="D317" s="8">
        <v>320</v>
      </c>
      <c r="E317" s="8" t="s">
        <v>323</v>
      </c>
      <c r="F317" s="8" t="s">
        <v>286</v>
      </c>
      <c r="G317" s="8" t="s">
        <v>292</v>
      </c>
      <c r="H317" s="18">
        <f ca="1">'2ERA SERVICIOS GENERALES'!F84</f>
        <v>0</v>
      </c>
      <c r="I317" s="19">
        <f ca="1">'2ERA SERVICIOS GENERALES'!G84</f>
        <v>20</v>
      </c>
      <c r="J317" s="19">
        <f ca="1">'2ERA SERVICIOS GENERALES'!H84</f>
        <v>19</v>
      </c>
      <c r="K317" s="19">
        <f ca="1">'2ERA SERVICIOS GENERALES'!I84</f>
        <v>0</v>
      </c>
      <c r="L317" s="19">
        <f ca="1">'2ERA SERVICIOS GENERALES'!J84</f>
        <v>0</v>
      </c>
      <c r="M317" s="19">
        <f ca="1">'2ERA SERVICIOS GENERALES'!K84</f>
        <v>0</v>
      </c>
      <c r="N317" s="19">
        <f ca="1">'2ERA SERVICIOS GENERALES'!L84</f>
        <v>0</v>
      </c>
      <c r="O317" s="19">
        <f ca="1">'2ERA SERVICIOS GENERALES'!M84</f>
        <v>0</v>
      </c>
      <c r="P317" s="19">
        <f ca="1">'2ERA SERVICIOS GENERALES'!N84</f>
        <v>0</v>
      </c>
      <c r="Q317" s="19">
        <f ca="1">'2ERA SERVICIOS GENERALES'!O84</f>
        <v>0</v>
      </c>
      <c r="R317" s="19">
        <f ca="1">'2ERA SERVICIOS GENERALES'!P84</f>
        <v>0</v>
      </c>
      <c r="S317" s="19">
        <f ca="1">'2ERA SERVICIOS GENERALES'!Q84</f>
        <v>0</v>
      </c>
      <c r="T317" s="19">
        <f ca="1">'2ERA SERVICIOS GENERALES'!R84</f>
        <v>0</v>
      </c>
      <c r="U317" s="21">
        <f ca="1">'2ERA SERVICIOS GENERALES'!S84</f>
        <v>39</v>
      </c>
    </row>
    <row r="318" spans="1:21" ht="39.75" customHeight="1">
      <c r="A318" s="53"/>
      <c r="B318" s="53"/>
      <c r="C318" s="12" t="str">
        <f ca="1">'1ERA SERVICIOS GENERALES'!A85</f>
        <v>CAMPAÑAS PARA MASCOTAS REALIZADAS (VACUNACION, ESTERILIZACION ETC).</v>
      </c>
      <c r="D318" s="8">
        <v>232</v>
      </c>
      <c r="E318" s="8" t="s">
        <v>364</v>
      </c>
      <c r="F318" s="8" t="s">
        <v>286</v>
      </c>
      <c r="G318" s="8" t="s">
        <v>292</v>
      </c>
      <c r="H318" s="18">
        <f ca="1">'2ERA SERVICIOS GENERALES'!F85</f>
        <v>0</v>
      </c>
      <c r="I318" s="19">
        <f ca="1">'2ERA SERVICIOS GENERALES'!G85</f>
        <v>4</v>
      </c>
      <c r="J318" s="19">
        <f ca="1">'2ERA SERVICIOS GENERALES'!H85</f>
        <v>0</v>
      </c>
      <c r="K318" s="19">
        <f ca="1">'2ERA SERVICIOS GENERALES'!I85</f>
        <v>0</v>
      </c>
      <c r="L318" s="19">
        <f ca="1">'2ERA SERVICIOS GENERALES'!J85</f>
        <v>0</v>
      </c>
      <c r="M318" s="19">
        <f ca="1">'2ERA SERVICIOS GENERALES'!K85</f>
        <v>0</v>
      </c>
      <c r="N318" s="19">
        <f ca="1">'2ERA SERVICIOS GENERALES'!L85</f>
        <v>0</v>
      </c>
      <c r="O318" s="19">
        <f ca="1">'2ERA SERVICIOS GENERALES'!M85</f>
        <v>0</v>
      </c>
      <c r="P318" s="19">
        <f ca="1">'2ERA SERVICIOS GENERALES'!N85</f>
        <v>0</v>
      </c>
      <c r="Q318" s="19">
        <f ca="1">'2ERA SERVICIOS GENERALES'!O85</f>
        <v>0</v>
      </c>
      <c r="R318" s="19">
        <f ca="1">'2ERA SERVICIOS GENERALES'!P85</f>
        <v>0</v>
      </c>
      <c r="S318" s="19">
        <f ca="1">'2ERA SERVICIOS GENERALES'!Q85</f>
        <v>0</v>
      </c>
      <c r="T318" s="19">
        <f ca="1">'2ERA SERVICIOS GENERALES'!R85</f>
        <v>0</v>
      </c>
      <c r="U318" s="21">
        <f ca="1">'2ERA SERVICIOS GENERALES'!S85</f>
        <v>4</v>
      </c>
    </row>
    <row r="319" spans="1:21" ht="39.75" customHeight="1">
      <c r="A319" s="53"/>
      <c r="B319" s="53"/>
      <c r="C319" s="12" t="str">
        <f ca="1">'1ERA SERVICIOS GENERALES'!A86</f>
        <v>ANIMALES ATENDIDOS EN CAMPAÑAS DE ESTERILIZACION</v>
      </c>
      <c r="D319" s="8">
        <v>24</v>
      </c>
      <c r="E319" s="8" t="s">
        <v>365</v>
      </c>
      <c r="F319" s="8" t="s">
        <v>286</v>
      </c>
      <c r="G319" s="8" t="s">
        <v>292</v>
      </c>
      <c r="H319" s="18">
        <f ca="1">'2ERA SERVICIOS GENERALES'!F86</f>
        <v>0</v>
      </c>
      <c r="I319" s="19">
        <f ca="1">'2ERA SERVICIOS GENERALES'!G86</f>
        <v>6</v>
      </c>
      <c r="J319" s="19">
        <f ca="1">'2ERA SERVICIOS GENERALES'!H86</f>
        <v>16</v>
      </c>
      <c r="K319" s="19">
        <f ca="1">'2ERA SERVICIOS GENERALES'!I86</f>
        <v>0</v>
      </c>
      <c r="L319" s="19">
        <f ca="1">'2ERA SERVICIOS GENERALES'!J86</f>
        <v>0</v>
      </c>
      <c r="M319" s="19">
        <f ca="1">'2ERA SERVICIOS GENERALES'!K86</f>
        <v>0</v>
      </c>
      <c r="N319" s="19">
        <f ca="1">'2ERA SERVICIOS GENERALES'!L86</f>
        <v>0</v>
      </c>
      <c r="O319" s="19">
        <f ca="1">'2ERA SERVICIOS GENERALES'!M86</f>
        <v>0</v>
      </c>
      <c r="P319" s="19">
        <f ca="1">'2ERA SERVICIOS GENERALES'!N86</f>
        <v>0</v>
      </c>
      <c r="Q319" s="19">
        <f ca="1">'2ERA SERVICIOS GENERALES'!O86</f>
        <v>0</v>
      </c>
      <c r="R319" s="19">
        <f ca="1">'2ERA SERVICIOS GENERALES'!P86</f>
        <v>0</v>
      </c>
      <c r="S319" s="19">
        <f ca="1">'2ERA SERVICIOS GENERALES'!Q86</f>
        <v>0</v>
      </c>
      <c r="T319" s="19">
        <f ca="1">'2ERA SERVICIOS GENERALES'!R86</f>
        <v>0</v>
      </c>
      <c r="U319" s="21">
        <f ca="1">'2ERA SERVICIOS GENERALES'!S86</f>
        <v>22</v>
      </c>
    </row>
    <row r="320" spans="1:21" ht="39.75" customHeight="1">
      <c r="A320" s="51"/>
      <c r="B320" s="51"/>
      <c r="C320" s="12" t="str">
        <f ca="1">'1ERA SERVICIOS GENERALES'!A87</f>
        <v>ANIMALES VIVOS RECOGIDOS EN VIA PUBLICA</v>
      </c>
      <c r="D320" s="8">
        <v>347</v>
      </c>
      <c r="E320" s="8" t="s">
        <v>366</v>
      </c>
      <c r="F320" s="8" t="s">
        <v>286</v>
      </c>
      <c r="G320" s="8" t="s">
        <v>292</v>
      </c>
      <c r="H320" s="18">
        <f ca="1">'2ERA SERVICIOS GENERALES'!F87</f>
        <v>0</v>
      </c>
      <c r="I320" s="19">
        <f ca="1">'2ERA SERVICIOS GENERALES'!G87</f>
        <v>23</v>
      </c>
      <c r="J320" s="19">
        <f ca="1">'2ERA SERVICIOS GENERALES'!H87</f>
        <v>24</v>
      </c>
      <c r="K320" s="19">
        <f ca="1">'2ERA SERVICIOS GENERALES'!I87</f>
        <v>0</v>
      </c>
      <c r="L320" s="19">
        <f ca="1">'2ERA SERVICIOS GENERALES'!J87</f>
        <v>0</v>
      </c>
      <c r="M320" s="19">
        <f ca="1">'2ERA SERVICIOS GENERALES'!K87</f>
        <v>0</v>
      </c>
      <c r="N320" s="19">
        <f ca="1">'2ERA SERVICIOS GENERALES'!L87</f>
        <v>0</v>
      </c>
      <c r="O320" s="19">
        <f ca="1">'2ERA SERVICIOS GENERALES'!M87</f>
        <v>0</v>
      </c>
      <c r="P320" s="19">
        <f ca="1">'2ERA SERVICIOS GENERALES'!N87</f>
        <v>0</v>
      </c>
      <c r="Q320" s="19">
        <f ca="1">'2ERA SERVICIOS GENERALES'!O87</f>
        <v>0</v>
      </c>
      <c r="R320" s="19">
        <f ca="1">'2ERA SERVICIOS GENERALES'!P87</f>
        <v>0</v>
      </c>
      <c r="S320" s="19">
        <f ca="1">'2ERA SERVICIOS GENERALES'!Q87</f>
        <v>0</v>
      </c>
      <c r="T320" s="19">
        <f ca="1">'2ERA SERVICIOS GENERALES'!R87</f>
        <v>0</v>
      </c>
      <c r="U320" s="21">
        <f ca="1">'2ERA SERVICIOS GENERALES'!S87</f>
        <v>47</v>
      </c>
    </row>
    <row r="321" spans="1:21" ht="39.75" customHeight="1">
      <c r="A321" s="55" t="s">
        <v>367</v>
      </c>
      <c r="B321" s="55" t="s">
        <v>368</v>
      </c>
      <c r="C321" s="7" t="s">
        <v>369</v>
      </c>
      <c r="D321" s="16">
        <v>1</v>
      </c>
      <c r="E321" s="16" t="str">
        <f ca="1">'1RA SEGURIDAD PUBLICA'!C2</f>
        <v>PERSONAS SANCIONADAS</v>
      </c>
      <c r="F321" s="16" t="str">
        <f ca="1">'1RA SEGURIDAD PUBLICA'!D2</f>
        <v>DESCENDENTE</v>
      </c>
      <c r="G321" s="16" t="str">
        <f ca="1">'1RA SEGURIDAD PUBLICA'!E2</f>
        <v>BITACORA DE ATENCION</v>
      </c>
      <c r="H321" s="18">
        <f ca="1">'2RA SEGURIDAD PUBLICA'!F2</f>
        <v>0</v>
      </c>
      <c r="I321" s="19">
        <f ca="1">'2RA SEGURIDAD PUBLICA'!G2</f>
        <v>0</v>
      </c>
      <c r="J321" s="19">
        <f ca="1">'2RA SEGURIDAD PUBLICA'!H2</f>
        <v>0</v>
      </c>
      <c r="K321" s="19">
        <f ca="1">'2RA SEGURIDAD PUBLICA'!I2</f>
        <v>0</v>
      </c>
      <c r="L321" s="19">
        <f ca="1">'2RA SEGURIDAD PUBLICA'!J2</f>
        <v>0</v>
      </c>
      <c r="M321" s="19">
        <f ca="1">'2RA SEGURIDAD PUBLICA'!K2</f>
        <v>0</v>
      </c>
      <c r="N321" s="19">
        <f ca="1">'2RA SEGURIDAD PUBLICA'!L2</f>
        <v>0</v>
      </c>
      <c r="O321" s="19">
        <f ca="1">'2RA SEGURIDAD PUBLICA'!M2</f>
        <v>0</v>
      </c>
      <c r="P321" s="19">
        <f ca="1">'2RA SEGURIDAD PUBLICA'!N2</f>
        <v>0</v>
      </c>
      <c r="Q321" s="19">
        <f ca="1">'2RA SEGURIDAD PUBLICA'!O2</f>
        <v>0</v>
      </c>
      <c r="R321" s="19">
        <f ca="1">'2RA SEGURIDAD PUBLICA'!P2</f>
        <v>0</v>
      </c>
      <c r="S321" s="19">
        <f ca="1">'2RA SEGURIDAD PUBLICA'!Q2</f>
        <v>0</v>
      </c>
      <c r="T321" s="19">
        <f ca="1">'2RA SEGURIDAD PUBLICA'!R2</f>
        <v>0</v>
      </c>
      <c r="U321" s="21">
        <f ca="1">'2RA SEGURIDAD PUBLICA'!S2</f>
        <v>0</v>
      </c>
    </row>
    <row r="322" spans="1:21" ht="39.75" customHeight="1">
      <c r="A322" s="53"/>
      <c r="B322" s="53"/>
      <c r="C322" s="7" t="s">
        <v>370</v>
      </c>
      <c r="D322" s="16">
        <v>1</v>
      </c>
      <c r="E322" s="16" t="s">
        <v>371</v>
      </c>
      <c r="F322" s="16" t="s">
        <v>289</v>
      </c>
      <c r="G322" s="17" t="str">
        <f ca="1">'1RA SEGURIDAD PUBLICA'!E3</f>
        <v>BITACORA DE ATENCION</v>
      </c>
      <c r="H322" s="18">
        <f ca="1">'2RA SEGURIDAD PUBLICA'!F3</f>
        <v>0</v>
      </c>
      <c r="I322" s="19">
        <f ca="1">'2RA SEGURIDAD PUBLICA'!G3</f>
        <v>0</v>
      </c>
      <c r="J322" s="19">
        <f ca="1">'2RA SEGURIDAD PUBLICA'!H3</f>
        <v>0</v>
      </c>
      <c r="K322" s="19">
        <f ca="1">'2RA SEGURIDAD PUBLICA'!I3</f>
        <v>0</v>
      </c>
      <c r="L322" s="19">
        <f ca="1">'2RA SEGURIDAD PUBLICA'!J3</f>
        <v>0</v>
      </c>
      <c r="M322" s="19">
        <f ca="1">'2RA SEGURIDAD PUBLICA'!K3</f>
        <v>0</v>
      </c>
      <c r="N322" s="19">
        <f ca="1">'2RA SEGURIDAD PUBLICA'!L3</f>
        <v>0</v>
      </c>
      <c r="O322" s="19">
        <f ca="1">'2RA SEGURIDAD PUBLICA'!M3</f>
        <v>0</v>
      </c>
      <c r="P322" s="19">
        <f ca="1">'2RA SEGURIDAD PUBLICA'!N3</f>
        <v>0</v>
      </c>
      <c r="Q322" s="19">
        <f ca="1">'2RA SEGURIDAD PUBLICA'!O3</f>
        <v>0</v>
      </c>
      <c r="R322" s="19">
        <f ca="1">'2RA SEGURIDAD PUBLICA'!P3</f>
        <v>0</v>
      </c>
      <c r="S322" s="19">
        <f ca="1">'2RA SEGURIDAD PUBLICA'!Q3</f>
        <v>0</v>
      </c>
      <c r="T322" s="19">
        <f ca="1">'2RA SEGURIDAD PUBLICA'!R3</f>
        <v>0</v>
      </c>
      <c r="U322" s="21">
        <f ca="1">'2RA SEGURIDAD PUBLICA'!S3</f>
        <v>0</v>
      </c>
    </row>
    <row r="323" spans="1:21" ht="39.75" customHeight="1">
      <c r="A323" s="53"/>
      <c r="B323" s="53"/>
      <c r="C323" s="7" t="s">
        <v>372</v>
      </c>
      <c r="D323" s="16">
        <v>1</v>
      </c>
      <c r="E323" s="16" t="s">
        <v>371</v>
      </c>
      <c r="F323" s="16" t="s">
        <v>289</v>
      </c>
      <c r="G323" s="17" t="str">
        <f ca="1">'1RA SEGURIDAD PUBLICA'!E4</f>
        <v>BITACORA DE ATENCION</v>
      </c>
      <c r="H323" s="18">
        <f ca="1">'2RA SEGURIDAD PUBLICA'!F4</f>
        <v>0</v>
      </c>
      <c r="I323" s="19">
        <f ca="1">'2RA SEGURIDAD PUBLICA'!G4</f>
        <v>0</v>
      </c>
      <c r="J323" s="19">
        <f ca="1">'2RA SEGURIDAD PUBLICA'!H4</f>
        <v>0</v>
      </c>
      <c r="K323" s="19">
        <f ca="1">'2RA SEGURIDAD PUBLICA'!I4</f>
        <v>0</v>
      </c>
      <c r="L323" s="19">
        <f ca="1">'2RA SEGURIDAD PUBLICA'!J4</f>
        <v>0</v>
      </c>
      <c r="M323" s="19">
        <f ca="1">'2RA SEGURIDAD PUBLICA'!K4</f>
        <v>0</v>
      </c>
      <c r="N323" s="19">
        <f ca="1">'2RA SEGURIDAD PUBLICA'!L4</f>
        <v>0</v>
      </c>
      <c r="O323" s="19">
        <f ca="1">'2RA SEGURIDAD PUBLICA'!M4</f>
        <v>0</v>
      </c>
      <c r="P323" s="19">
        <f ca="1">'2RA SEGURIDAD PUBLICA'!N4</f>
        <v>0</v>
      </c>
      <c r="Q323" s="19">
        <f ca="1">'2RA SEGURIDAD PUBLICA'!O4</f>
        <v>0</v>
      </c>
      <c r="R323" s="19">
        <f ca="1">'2RA SEGURIDAD PUBLICA'!P4</f>
        <v>0</v>
      </c>
      <c r="S323" s="19">
        <f ca="1">'2RA SEGURIDAD PUBLICA'!Q4</f>
        <v>0</v>
      </c>
      <c r="T323" s="19">
        <f ca="1">'2RA SEGURIDAD PUBLICA'!R4</f>
        <v>0</v>
      </c>
      <c r="U323" s="21">
        <f ca="1">'2RA SEGURIDAD PUBLICA'!S4</f>
        <v>0</v>
      </c>
    </row>
    <row r="324" spans="1:21" ht="39.75" customHeight="1">
      <c r="A324" s="53"/>
      <c r="B324" s="53"/>
      <c r="C324" s="7" t="s">
        <v>373</v>
      </c>
      <c r="D324" s="16">
        <v>1</v>
      </c>
      <c r="E324" s="16" t="s">
        <v>371</v>
      </c>
      <c r="F324" s="16" t="s">
        <v>289</v>
      </c>
      <c r="G324" s="17" t="str">
        <f ca="1">'1RA SEGURIDAD PUBLICA'!E5</f>
        <v>BITACORA OPERATIVA</v>
      </c>
      <c r="H324" s="18">
        <f ca="1">'2RA SEGURIDAD PUBLICA'!F5</f>
        <v>0</v>
      </c>
      <c r="I324" s="19">
        <f ca="1">'2RA SEGURIDAD PUBLICA'!G5</f>
        <v>0</v>
      </c>
      <c r="J324" s="19">
        <f ca="1">'2RA SEGURIDAD PUBLICA'!H5</f>
        <v>0</v>
      </c>
      <c r="K324" s="19">
        <f ca="1">'2RA SEGURIDAD PUBLICA'!I5</f>
        <v>0</v>
      </c>
      <c r="L324" s="19">
        <f ca="1">'2RA SEGURIDAD PUBLICA'!J5</f>
        <v>0</v>
      </c>
      <c r="M324" s="19">
        <f ca="1">'2RA SEGURIDAD PUBLICA'!K5</f>
        <v>0</v>
      </c>
      <c r="N324" s="19">
        <f ca="1">'2RA SEGURIDAD PUBLICA'!L5</f>
        <v>0</v>
      </c>
      <c r="O324" s="19">
        <f ca="1">'2RA SEGURIDAD PUBLICA'!M5</f>
        <v>0</v>
      </c>
      <c r="P324" s="19">
        <f ca="1">'2RA SEGURIDAD PUBLICA'!N5</f>
        <v>0</v>
      </c>
      <c r="Q324" s="19">
        <f ca="1">'2RA SEGURIDAD PUBLICA'!O5</f>
        <v>0</v>
      </c>
      <c r="R324" s="19">
        <f ca="1">'2RA SEGURIDAD PUBLICA'!P5</f>
        <v>0</v>
      </c>
      <c r="S324" s="19">
        <f ca="1">'2RA SEGURIDAD PUBLICA'!Q5</f>
        <v>0</v>
      </c>
      <c r="T324" s="19">
        <f ca="1">'2RA SEGURIDAD PUBLICA'!R5</f>
        <v>0</v>
      </c>
      <c r="U324" s="21">
        <f ca="1">'2RA SEGURIDAD PUBLICA'!S5</f>
        <v>0</v>
      </c>
    </row>
    <row r="325" spans="1:21" ht="39.75" customHeight="1">
      <c r="A325" s="53"/>
      <c r="B325" s="53"/>
      <c r="C325" s="7" t="s">
        <v>374</v>
      </c>
      <c r="D325" s="16">
        <v>1</v>
      </c>
      <c r="E325" s="16" t="s">
        <v>371</v>
      </c>
      <c r="F325" s="16" t="s">
        <v>289</v>
      </c>
      <c r="G325" s="17" t="str">
        <f ca="1">'1RA SEGURIDAD PUBLICA'!E6</f>
        <v>BITACORA OPERATIVA</v>
      </c>
      <c r="H325" s="18">
        <f ca="1">'2RA SEGURIDAD PUBLICA'!F6</f>
        <v>0</v>
      </c>
      <c r="I325" s="19">
        <f ca="1">'2RA SEGURIDAD PUBLICA'!G6</f>
        <v>0</v>
      </c>
      <c r="J325" s="19">
        <f ca="1">'2RA SEGURIDAD PUBLICA'!H6</f>
        <v>0</v>
      </c>
      <c r="K325" s="19">
        <f ca="1">'2RA SEGURIDAD PUBLICA'!I6</f>
        <v>0</v>
      </c>
      <c r="L325" s="19">
        <f ca="1">'2RA SEGURIDAD PUBLICA'!J6</f>
        <v>0</v>
      </c>
      <c r="M325" s="19">
        <f ca="1">'2RA SEGURIDAD PUBLICA'!K6</f>
        <v>0</v>
      </c>
      <c r="N325" s="19">
        <f ca="1">'2RA SEGURIDAD PUBLICA'!L6</f>
        <v>0</v>
      </c>
      <c r="O325" s="19">
        <f ca="1">'2RA SEGURIDAD PUBLICA'!M6</f>
        <v>0</v>
      </c>
      <c r="P325" s="19">
        <f ca="1">'2RA SEGURIDAD PUBLICA'!N6</f>
        <v>0</v>
      </c>
      <c r="Q325" s="19">
        <f ca="1">'2RA SEGURIDAD PUBLICA'!O6</f>
        <v>0</v>
      </c>
      <c r="R325" s="19">
        <f ca="1">'2RA SEGURIDAD PUBLICA'!P6</f>
        <v>0</v>
      </c>
      <c r="S325" s="19">
        <f ca="1">'2RA SEGURIDAD PUBLICA'!Q6</f>
        <v>0</v>
      </c>
      <c r="T325" s="19">
        <f ca="1">'2RA SEGURIDAD PUBLICA'!R6</f>
        <v>0</v>
      </c>
      <c r="U325" s="21">
        <f ca="1">'2RA SEGURIDAD PUBLICA'!S6</f>
        <v>0</v>
      </c>
    </row>
    <row r="326" spans="1:21" ht="39.75" customHeight="1">
      <c r="A326" s="53"/>
      <c r="B326" s="53"/>
      <c r="C326" s="7" t="s">
        <v>375</v>
      </c>
      <c r="D326" s="16">
        <v>1</v>
      </c>
      <c r="E326" s="16" t="s">
        <v>371</v>
      </c>
      <c r="F326" s="16" t="s">
        <v>289</v>
      </c>
      <c r="G326" s="17" t="str">
        <f ca="1">'1RA SEGURIDAD PUBLICA'!E7</f>
        <v>BITACORA OPERATIVA</v>
      </c>
      <c r="H326" s="18">
        <f ca="1">'2RA SEGURIDAD PUBLICA'!F7</f>
        <v>0</v>
      </c>
      <c r="I326" s="19">
        <f ca="1">'2RA SEGURIDAD PUBLICA'!G7</f>
        <v>0</v>
      </c>
      <c r="J326" s="19">
        <f ca="1">'2RA SEGURIDAD PUBLICA'!H7</f>
        <v>0</v>
      </c>
      <c r="K326" s="19">
        <f ca="1">'2RA SEGURIDAD PUBLICA'!I7</f>
        <v>0</v>
      </c>
      <c r="L326" s="19">
        <f ca="1">'2RA SEGURIDAD PUBLICA'!J7</f>
        <v>0</v>
      </c>
      <c r="M326" s="19">
        <f ca="1">'2RA SEGURIDAD PUBLICA'!K7</f>
        <v>0</v>
      </c>
      <c r="N326" s="19">
        <f ca="1">'2RA SEGURIDAD PUBLICA'!L7</f>
        <v>0</v>
      </c>
      <c r="O326" s="19">
        <f ca="1">'2RA SEGURIDAD PUBLICA'!M7</f>
        <v>0</v>
      </c>
      <c r="P326" s="19">
        <f ca="1">'2RA SEGURIDAD PUBLICA'!N7</f>
        <v>0</v>
      </c>
      <c r="Q326" s="19">
        <f ca="1">'2RA SEGURIDAD PUBLICA'!O7</f>
        <v>0</v>
      </c>
      <c r="R326" s="19">
        <f ca="1">'2RA SEGURIDAD PUBLICA'!P7</f>
        <v>0</v>
      </c>
      <c r="S326" s="19">
        <f ca="1">'2RA SEGURIDAD PUBLICA'!Q7</f>
        <v>0</v>
      </c>
      <c r="T326" s="19">
        <f ca="1">'2RA SEGURIDAD PUBLICA'!R7</f>
        <v>0</v>
      </c>
      <c r="U326" s="21">
        <f ca="1">'2RA SEGURIDAD PUBLICA'!S7</f>
        <v>0</v>
      </c>
    </row>
    <row r="327" spans="1:21" ht="39.75" customHeight="1">
      <c r="A327" s="53"/>
      <c r="B327" s="53"/>
      <c r="C327" s="7" t="s">
        <v>376</v>
      </c>
      <c r="D327" s="16">
        <v>1</v>
      </c>
      <c r="E327" s="16" t="s">
        <v>371</v>
      </c>
      <c r="F327" s="16" t="s">
        <v>289</v>
      </c>
      <c r="G327" s="17" t="str">
        <f ca="1">'1RA SEGURIDAD PUBLICA'!E8</f>
        <v>BITACORA OPERATIVA</v>
      </c>
      <c r="H327" s="18">
        <f ca="1">'2RA SEGURIDAD PUBLICA'!F8</f>
        <v>0</v>
      </c>
      <c r="I327" s="19">
        <f ca="1">'2RA SEGURIDAD PUBLICA'!G8</f>
        <v>0</v>
      </c>
      <c r="J327" s="19">
        <f ca="1">'2RA SEGURIDAD PUBLICA'!H8</f>
        <v>0</v>
      </c>
      <c r="K327" s="19">
        <f ca="1">'2RA SEGURIDAD PUBLICA'!I8</f>
        <v>0</v>
      </c>
      <c r="L327" s="19">
        <f ca="1">'2RA SEGURIDAD PUBLICA'!J8</f>
        <v>0</v>
      </c>
      <c r="M327" s="19">
        <f ca="1">'2RA SEGURIDAD PUBLICA'!K8</f>
        <v>0</v>
      </c>
      <c r="N327" s="19">
        <f ca="1">'2RA SEGURIDAD PUBLICA'!L8</f>
        <v>0</v>
      </c>
      <c r="O327" s="19">
        <f ca="1">'2RA SEGURIDAD PUBLICA'!M8</f>
        <v>0</v>
      </c>
      <c r="P327" s="19">
        <f ca="1">'2RA SEGURIDAD PUBLICA'!N8</f>
        <v>0</v>
      </c>
      <c r="Q327" s="19">
        <f ca="1">'2RA SEGURIDAD PUBLICA'!O8</f>
        <v>0</v>
      </c>
      <c r="R327" s="19">
        <f ca="1">'2RA SEGURIDAD PUBLICA'!P8</f>
        <v>0</v>
      </c>
      <c r="S327" s="19">
        <f ca="1">'2RA SEGURIDAD PUBLICA'!Q8</f>
        <v>0</v>
      </c>
      <c r="T327" s="19">
        <f ca="1">'2RA SEGURIDAD PUBLICA'!R8</f>
        <v>0</v>
      </c>
      <c r="U327" s="21">
        <f ca="1">'2RA SEGURIDAD PUBLICA'!S8</f>
        <v>0</v>
      </c>
    </row>
    <row r="328" spans="1:21" ht="39.75" customHeight="1">
      <c r="A328" s="53"/>
      <c r="B328" s="53"/>
      <c r="C328" s="7" t="s">
        <v>377</v>
      </c>
      <c r="D328" s="16">
        <v>1</v>
      </c>
      <c r="E328" s="16" t="s">
        <v>371</v>
      </c>
      <c r="F328" s="16" t="s">
        <v>289</v>
      </c>
      <c r="G328" s="17" t="str">
        <f ca="1">'1RA SEGURIDAD PUBLICA'!E9</f>
        <v>BITACORA OPERATIVA</v>
      </c>
      <c r="H328" s="18">
        <f ca="1">'2RA SEGURIDAD PUBLICA'!F9</f>
        <v>0</v>
      </c>
      <c r="I328" s="19">
        <f ca="1">'2RA SEGURIDAD PUBLICA'!G9</f>
        <v>0</v>
      </c>
      <c r="J328" s="19">
        <f ca="1">'2RA SEGURIDAD PUBLICA'!H9</f>
        <v>0</v>
      </c>
      <c r="K328" s="19">
        <f ca="1">'2RA SEGURIDAD PUBLICA'!I9</f>
        <v>0</v>
      </c>
      <c r="L328" s="19">
        <f ca="1">'2RA SEGURIDAD PUBLICA'!J9</f>
        <v>0</v>
      </c>
      <c r="M328" s="19">
        <f ca="1">'2RA SEGURIDAD PUBLICA'!K9</f>
        <v>0</v>
      </c>
      <c r="N328" s="19">
        <f ca="1">'2RA SEGURIDAD PUBLICA'!L9</f>
        <v>0</v>
      </c>
      <c r="O328" s="19">
        <f ca="1">'2RA SEGURIDAD PUBLICA'!M9</f>
        <v>0</v>
      </c>
      <c r="P328" s="19">
        <f ca="1">'2RA SEGURIDAD PUBLICA'!N9</f>
        <v>0</v>
      </c>
      <c r="Q328" s="19">
        <f ca="1">'2RA SEGURIDAD PUBLICA'!O9</f>
        <v>0</v>
      </c>
      <c r="R328" s="19">
        <f ca="1">'2RA SEGURIDAD PUBLICA'!P9</f>
        <v>0</v>
      </c>
      <c r="S328" s="19">
        <f ca="1">'2RA SEGURIDAD PUBLICA'!Q9</f>
        <v>0</v>
      </c>
      <c r="T328" s="19">
        <f ca="1">'2RA SEGURIDAD PUBLICA'!R9</f>
        <v>0</v>
      </c>
      <c r="U328" s="21">
        <f ca="1">'2RA SEGURIDAD PUBLICA'!S9</f>
        <v>0</v>
      </c>
    </row>
    <row r="329" spans="1:21" ht="39.75" customHeight="1">
      <c r="A329" s="53"/>
      <c r="B329" s="53"/>
      <c r="C329" s="7" t="s">
        <v>378</v>
      </c>
      <c r="D329" s="16">
        <v>1</v>
      </c>
      <c r="E329" s="16" t="s">
        <v>371</v>
      </c>
      <c r="F329" s="16" t="s">
        <v>289</v>
      </c>
      <c r="G329" s="17" t="str">
        <f ca="1">'1RA SEGURIDAD PUBLICA'!E10</f>
        <v>BITACORA OPERATIVA</v>
      </c>
      <c r="H329" s="18">
        <f ca="1">'2RA SEGURIDAD PUBLICA'!F10</f>
        <v>0</v>
      </c>
      <c r="I329" s="19">
        <f ca="1">'2RA SEGURIDAD PUBLICA'!G10</f>
        <v>0</v>
      </c>
      <c r="J329" s="19">
        <f ca="1">'2RA SEGURIDAD PUBLICA'!H10</f>
        <v>0</v>
      </c>
      <c r="K329" s="19">
        <f ca="1">'2RA SEGURIDAD PUBLICA'!I10</f>
        <v>0</v>
      </c>
      <c r="L329" s="19">
        <f ca="1">'2RA SEGURIDAD PUBLICA'!J10</f>
        <v>0</v>
      </c>
      <c r="M329" s="19">
        <f ca="1">'2RA SEGURIDAD PUBLICA'!K10</f>
        <v>0</v>
      </c>
      <c r="N329" s="19">
        <f ca="1">'2RA SEGURIDAD PUBLICA'!L10</f>
        <v>0</v>
      </c>
      <c r="O329" s="19">
        <f ca="1">'2RA SEGURIDAD PUBLICA'!M10</f>
        <v>0</v>
      </c>
      <c r="P329" s="19">
        <f ca="1">'2RA SEGURIDAD PUBLICA'!N10</f>
        <v>0</v>
      </c>
      <c r="Q329" s="19">
        <f ca="1">'2RA SEGURIDAD PUBLICA'!O10</f>
        <v>0</v>
      </c>
      <c r="R329" s="19">
        <f ca="1">'2RA SEGURIDAD PUBLICA'!P10</f>
        <v>0</v>
      </c>
      <c r="S329" s="19">
        <f ca="1">'2RA SEGURIDAD PUBLICA'!Q10</f>
        <v>0</v>
      </c>
      <c r="T329" s="19">
        <f ca="1">'2RA SEGURIDAD PUBLICA'!R10</f>
        <v>0</v>
      </c>
      <c r="U329" s="21">
        <f ca="1">'2RA SEGURIDAD PUBLICA'!S10</f>
        <v>0</v>
      </c>
    </row>
    <row r="330" spans="1:21" ht="39.75" customHeight="1">
      <c r="A330" s="53"/>
      <c r="B330" s="53"/>
      <c r="C330" s="7" t="s">
        <v>379</v>
      </c>
      <c r="D330" s="16">
        <v>1</v>
      </c>
      <c r="E330" s="16" t="s">
        <v>371</v>
      </c>
      <c r="F330" s="16" t="s">
        <v>289</v>
      </c>
      <c r="G330" s="17" t="str">
        <f ca="1">'1RA SEGURIDAD PUBLICA'!E11</f>
        <v>BITACORA OPERATIVA</v>
      </c>
      <c r="H330" s="18">
        <f ca="1">'2RA SEGURIDAD PUBLICA'!F11</f>
        <v>0</v>
      </c>
      <c r="I330" s="19">
        <f ca="1">'2RA SEGURIDAD PUBLICA'!G11</f>
        <v>0</v>
      </c>
      <c r="J330" s="19">
        <f ca="1">'2RA SEGURIDAD PUBLICA'!H11</f>
        <v>0</v>
      </c>
      <c r="K330" s="19">
        <f ca="1">'2RA SEGURIDAD PUBLICA'!I11</f>
        <v>0</v>
      </c>
      <c r="L330" s="19">
        <f ca="1">'2RA SEGURIDAD PUBLICA'!J11</f>
        <v>0</v>
      </c>
      <c r="M330" s="19">
        <f ca="1">'2RA SEGURIDAD PUBLICA'!K11</f>
        <v>0</v>
      </c>
      <c r="N330" s="19">
        <f ca="1">'2RA SEGURIDAD PUBLICA'!L11</f>
        <v>0</v>
      </c>
      <c r="O330" s="19">
        <f ca="1">'2RA SEGURIDAD PUBLICA'!M11</f>
        <v>0</v>
      </c>
      <c r="P330" s="19">
        <f ca="1">'2RA SEGURIDAD PUBLICA'!N11</f>
        <v>0</v>
      </c>
      <c r="Q330" s="19">
        <f ca="1">'2RA SEGURIDAD PUBLICA'!O11</f>
        <v>0</v>
      </c>
      <c r="R330" s="19">
        <f ca="1">'2RA SEGURIDAD PUBLICA'!P11</f>
        <v>0</v>
      </c>
      <c r="S330" s="19">
        <f ca="1">'2RA SEGURIDAD PUBLICA'!Q11</f>
        <v>0</v>
      </c>
      <c r="T330" s="19">
        <f ca="1">'2RA SEGURIDAD PUBLICA'!R11</f>
        <v>0</v>
      </c>
      <c r="U330" s="21">
        <f ca="1">'2RA SEGURIDAD PUBLICA'!S11</f>
        <v>0</v>
      </c>
    </row>
    <row r="331" spans="1:21" ht="39.75" customHeight="1">
      <c r="A331" s="53"/>
      <c r="B331" s="53"/>
      <c r="C331" s="7" t="s">
        <v>380</v>
      </c>
      <c r="D331" s="16">
        <v>1</v>
      </c>
      <c r="E331" s="16" t="s">
        <v>371</v>
      </c>
      <c r="F331" s="16" t="s">
        <v>289</v>
      </c>
      <c r="G331" s="17" t="str">
        <f ca="1">'1RA SEGURIDAD PUBLICA'!E12</f>
        <v>BITACORA OPERATIVA</v>
      </c>
      <c r="H331" s="18">
        <f ca="1">'2RA SEGURIDAD PUBLICA'!F12</f>
        <v>0</v>
      </c>
      <c r="I331" s="19">
        <f ca="1">'2RA SEGURIDAD PUBLICA'!G12</f>
        <v>0</v>
      </c>
      <c r="J331" s="19">
        <f ca="1">'2RA SEGURIDAD PUBLICA'!H12</f>
        <v>0</v>
      </c>
      <c r="K331" s="19">
        <f ca="1">'2RA SEGURIDAD PUBLICA'!I12</f>
        <v>0</v>
      </c>
      <c r="L331" s="19">
        <f ca="1">'2RA SEGURIDAD PUBLICA'!J12</f>
        <v>0</v>
      </c>
      <c r="M331" s="19">
        <f ca="1">'2RA SEGURIDAD PUBLICA'!K12</f>
        <v>0</v>
      </c>
      <c r="N331" s="19">
        <f ca="1">'2RA SEGURIDAD PUBLICA'!L12</f>
        <v>0</v>
      </c>
      <c r="O331" s="19">
        <f ca="1">'2RA SEGURIDAD PUBLICA'!M12</f>
        <v>0</v>
      </c>
      <c r="P331" s="19">
        <f ca="1">'2RA SEGURIDAD PUBLICA'!N12</f>
        <v>0</v>
      </c>
      <c r="Q331" s="19">
        <f ca="1">'2RA SEGURIDAD PUBLICA'!O12</f>
        <v>0</v>
      </c>
      <c r="R331" s="19">
        <f ca="1">'2RA SEGURIDAD PUBLICA'!P12</f>
        <v>0</v>
      </c>
      <c r="S331" s="19">
        <f ca="1">'2RA SEGURIDAD PUBLICA'!Q12</f>
        <v>0</v>
      </c>
      <c r="T331" s="19">
        <f ca="1">'2RA SEGURIDAD PUBLICA'!R12</f>
        <v>0</v>
      </c>
      <c r="U331" s="21">
        <f ca="1">'2RA SEGURIDAD PUBLICA'!S12</f>
        <v>0</v>
      </c>
    </row>
    <row r="332" spans="1:21" ht="39.75" customHeight="1">
      <c r="A332" s="53"/>
      <c r="B332" s="53"/>
      <c r="C332" s="7" t="s">
        <v>381</v>
      </c>
      <c r="D332" s="16">
        <v>1</v>
      </c>
      <c r="E332" s="16" t="s">
        <v>371</v>
      </c>
      <c r="F332" s="16" t="s">
        <v>289</v>
      </c>
      <c r="G332" s="17" t="str">
        <f ca="1">'1RA SEGURIDAD PUBLICA'!E13</f>
        <v>BITACORA OPERATIVA</v>
      </c>
      <c r="H332" s="18">
        <f ca="1">'2RA SEGURIDAD PUBLICA'!F13</f>
        <v>0</v>
      </c>
      <c r="I332" s="19">
        <f ca="1">'2RA SEGURIDAD PUBLICA'!G13</f>
        <v>0</v>
      </c>
      <c r="J332" s="19">
        <f ca="1">'2RA SEGURIDAD PUBLICA'!H13</f>
        <v>0</v>
      </c>
      <c r="K332" s="19">
        <f ca="1">'2RA SEGURIDAD PUBLICA'!I13</f>
        <v>0</v>
      </c>
      <c r="L332" s="19">
        <f ca="1">'2RA SEGURIDAD PUBLICA'!J13</f>
        <v>0</v>
      </c>
      <c r="M332" s="19">
        <f ca="1">'2RA SEGURIDAD PUBLICA'!K13</f>
        <v>0</v>
      </c>
      <c r="N332" s="19">
        <f ca="1">'2RA SEGURIDAD PUBLICA'!L13</f>
        <v>0</v>
      </c>
      <c r="O332" s="19">
        <f ca="1">'2RA SEGURIDAD PUBLICA'!M13</f>
        <v>0</v>
      </c>
      <c r="P332" s="19">
        <f ca="1">'2RA SEGURIDAD PUBLICA'!N13</f>
        <v>0</v>
      </c>
      <c r="Q332" s="19">
        <f ca="1">'2RA SEGURIDAD PUBLICA'!O13</f>
        <v>0</v>
      </c>
      <c r="R332" s="19">
        <f ca="1">'2RA SEGURIDAD PUBLICA'!P13</f>
        <v>0</v>
      </c>
      <c r="S332" s="19">
        <f ca="1">'2RA SEGURIDAD PUBLICA'!Q13</f>
        <v>0</v>
      </c>
      <c r="T332" s="19">
        <f ca="1">'2RA SEGURIDAD PUBLICA'!R13</f>
        <v>0</v>
      </c>
      <c r="U332" s="21">
        <f ca="1">'2RA SEGURIDAD PUBLICA'!S13</f>
        <v>0</v>
      </c>
    </row>
    <row r="333" spans="1:21" ht="39.75" customHeight="1">
      <c r="A333" s="53"/>
      <c r="B333" s="53"/>
      <c r="C333" s="7" t="s">
        <v>382</v>
      </c>
      <c r="D333" s="16">
        <v>1</v>
      </c>
      <c r="E333" s="16" t="s">
        <v>371</v>
      </c>
      <c r="F333" s="16" t="s">
        <v>289</v>
      </c>
      <c r="G333" s="17" t="str">
        <f ca="1">'1RA SEGURIDAD PUBLICA'!E14</f>
        <v>BITACORA OPERATIVA</v>
      </c>
      <c r="H333" s="18">
        <f ca="1">'2RA SEGURIDAD PUBLICA'!F14</f>
        <v>0</v>
      </c>
      <c r="I333" s="19">
        <f ca="1">'2RA SEGURIDAD PUBLICA'!G14</f>
        <v>0</v>
      </c>
      <c r="J333" s="19">
        <f ca="1">'2RA SEGURIDAD PUBLICA'!H14</f>
        <v>0</v>
      </c>
      <c r="K333" s="19">
        <f ca="1">'2RA SEGURIDAD PUBLICA'!I14</f>
        <v>0</v>
      </c>
      <c r="L333" s="19">
        <f ca="1">'2RA SEGURIDAD PUBLICA'!J14</f>
        <v>0</v>
      </c>
      <c r="M333" s="19">
        <f ca="1">'2RA SEGURIDAD PUBLICA'!K14</f>
        <v>0</v>
      </c>
      <c r="N333" s="19">
        <f ca="1">'2RA SEGURIDAD PUBLICA'!L14</f>
        <v>0</v>
      </c>
      <c r="O333" s="19">
        <f ca="1">'2RA SEGURIDAD PUBLICA'!M14</f>
        <v>0</v>
      </c>
      <c r="P333" s="19">
        <f ca="1">'2RA SEGURIDAD PUBLICA'!N14</f>
        <v>0</v>
      </c>
      <c r="Q333" s="19">
        <f ca="1">'2RA SEGURIDAD PUBLICA'!O14</f>
        <v>0</v>
      </c>
      <c r="R333" s="19">
        <f ca="1">'2RA SEGURIDAD PUBLICA'!P14</f>
        <v>0</v>
      </c>
      <c r="S333" s="19">
        <f ca="1">'2RA SEGURIDAD PUBLICA'!Q14</f>
        <v>0</v>
      </c>
      <c r="T333" s="19">
        <f ca="1">'2RA SEGURIDAD PUBLICA'!R14</f>
        <v>0</v>
      </c>
      <c r="U333" s="21">
        <f ca="1">'2RA SEGURIDAD PUBLICA'!S14</f>
        <v>0</v>
      </c>
    </row>
    <row r="334" spans="1:21" ht="39.75" customHeight="1">
      <c r="A334" s="53"/>
      <c r="B334" s="53"/>
      <c r="C334" s="7" t="s">
        <v>383</v>
      </c>
      <c r="D334" s="16">
        <v>1</v>
      </c>
      <c r="E334" s="16" t="s">
        <v>371</v>
      </c>
      <c r="F334" s="17" t="str">
        <f ca="1">'1RA SEGURIDAD PUBLICA'!D15</f>
        <v>ASCENDENTE</v>
      </c>
      <c r="G334" s="17" t="str">
        <f ca="1">'1RA SEGURIDAD PUBLICA'!E15</f>
        <v>BITACORA OPERATIVA</v>
      </c>
      <c r="H334" s="18">
        <f ca="1">'2RA SEGURIDAD PUBLICA'!F15</f>
        <v>0</v>
      </c>
      <c r="I334" s="19">
        <f ca="1">'2RA SEGURIDAD PUBLICA'!G15</f>
        <v>0</v>
      </c>
      <c r="J334" s="19">
        <f ca="1">'2RA SEGURIDAD PUBLICA'!H15</f>
        <v>0</v>
      </c>
      <c r="K334" s="19">
        <f ca="1">'2RA SEGURIDAD PUBLICA'!I15</f>
        <v>0</v>
      </c>
      <c r="L334" s="19">
        <f ca="1">'2RA SEGURIDAD PUBLICA'!J15</f>
        <v>0</v>
      </c>
      <c r="M334" s="19">
        <f ca="1">'2RA SEGURIDAD PUBLICA'!K15</f>
        <v>0</v>
      </c>
      <c r="N334" s="19">
        <f ca="1">'2RA SEGURIDAD PUBLICA'!L15</f>
        <v>0</v>
      </c>
      <c r="O334" s="19">
        <f ca="1">'2RA SEGURIDAD PUBLICA'!M15</f>
        <v>0</v>
      </c>
      <c r="P334" s="19">
        <f ca="1">'2RA SEGURIDAD PUBLICA'!N15</f>
        <v>0</v>
      </c>
      <c r="Q334" s="19">
        <f ca="1">'2RA SEGURIDAD PUBLICA'!O15</f>
        <v>0</v>
      </c>
      <c r="R334" s="19">
        <f ca="1">'2RA SEGURIDAD PUBLICA'!P15</f>
        <v>0</v>
      </c>
      <c r="S334" s="19">
        <f ca="1">'2RA SEGURIDAD PUBLICA'!Q15</f>
        <v>0</v>
      </c>
      <c r="T334" s="19">
        <f ca="1">'2RA SEGURIDAD PUBLICA'!R15</f>
        <v>0</v>
      </c>
      <c r="U334" s="21">
        <f ca="1">'2RA SEGURIDAD PUBLICA'!S15</f>
        <v>0</v>
      </c>
    </row>
    <row r="335" spans="1:21" ht="39.75" customHeight="1">
      <c r="A335" s="53"/>
      <c r="B335" s="53"/>
      <c r="C335" s="7" t="s">
        <v>384</v>
      </c>
      <c r="D335" s="16">
        <v>1</v>
      </c>
      <c r="E335" s="16" t="s">
        <v>371</v>
      </c>
      <c r="F335" s="17" t="str">
        <f ca="1">'1RA SEGURIDAD PUBLICA'!D16</f>
        <v>ASCENDENTE</v>
      </c>
      <c r="G335" s="17" t="str">
        <f ca="1">'1RA SEGURIDAD PUBLICA'!E16</f>
        <v>BITACORA OPERATIVA</v>
      </c>
      <c r="H335" s="18">
        <f ca="1">'2RA SEGURIDAD PUBLICA'!F16</f>
        <v>0</v>
      </c>
      <c r="I335" s="19">
        <f ca="1">'2RA SEGURIDAD PUBLICA'!G16</f>
        <v>0</v>
      </c>
      <c r="J335" s="19">
        <f ca="1">'2RA SEGURIDAD PUBLICA'!H16</f>
        <v>0</v>
      </c>
      <c r="K335" s="19">
        <f ca="1">'2RA SEGURIDAD PUBLICA'!I16</f>
        <v>0</v>
      </c>
      <c r="L335" s="19">
        <f ca="1">'2RA SEGURIDAD PUBLICA'!J16</f>
        <v>0</v>
      </c>
      <c r="M335" s="19">
        <f ca="1">'2RA SEGURIDAD PUBLICA'!K16</f>
        <v>0</v>
      </c>
      <c r="N335" s="19">
        <f ca="1">'2RA SEGURIDAD PUBLICA'!L16</f>
        <v>0</v>
      </c>
      <c r="O335" s="19">
        <f ca="1">'2RA SEGURIDAD PUBLICA'!M16</f>
        <v>0</v>
      </c>
      <c r="P335" s="19">
        <f ca="1">'2RA SEGURIDAD PUBLICA'!N16</f>
        <v>0</v>
      </c>
      <c r="Q335" s="19">
        <f ca="1">'2RA SEGURIDAD PUBLICA'!O16</f>
        <v>0</v>
      </c>
      <c r="R335" s="19">
        <f ca="1">'2RA SEGURIDAD PUBLICA'!P16</f>
        <v>0</v>
      </c>
      <c r="S335" s="19">
        <f ca="1">'2RA SEGURIDAD PUBLICA'!Q16</f>
        <v>0</v>
      </c>
      <c r="T335" s="19">
        <f ca="1">'2RA SEGURIDAD PUBLICA'!R16</f>
        <v>0</v>
      </c>
      <c r="U335" s="21">
        <f ca="1">'2RA SEGURIDAD PUBLICA'!S16</f>
        <v>0</v>
      </c>
    </row>
    <row r="336" spans="1:21" ht="39.75" customHeight="1">
      <c r="A336" s="53"/>
      <c r="B336" s="53"/>
      <c r="C336" s="7" t="s">
        <v>385</v>
      </c>
      <c r="D336" s="16">
        <v>1</v>
      </c>
      <c r="E336" s="16" t="s">
        <v>371</v>
      </c>
      <c r="F336" s="17" t="str">
        <f ca="1">'1RA SEGURIDAD PUBLICA'!D17</f>
        <v>ASCENDENTE</v>
      </c>
      <c r="G336" s="17" t="str">
        <f ca="1">'1RA SEGURIDAD PUBLICA'!E17</f>
        <v>BITACORA OPERATIVA</v>
      </c>
      <c r="H336" s="18">
        <f ca="1">'2RA SEGURIDAD PUBLICA'!F17</f>
        <v>0</v>
      </c>
      <c r="I336" s="19">
        <f ca="1">'2RA SEGURIDAD PUBLICA'!G17</f>
        <v>0</v>
      </c>
      <c r="J336" s="19">
        <f ca="1">'2RA SEGURIDAD PUBLICA'!H17</f>
        <v>0</v>
      </c>
      <c r="K336" s="19">
        <f ca="1">'2RA SEGURIDAD PUBLICA'!I17</f>
        <v>0</v>
      </c>
      <c r="L336" s="19">
        <f ca="1">'2RA SEGURIDAD PUBLICA'!J17</f>
        <v>0</v>
      </c>
      <c r="M336" s="19">
        <f ca="1">'2RA SEGURIDAD PUBLICA'!K17</f>
        <v>0</v>
      </c>
      <c r="N336" s="19">
        <f ca="1">'2RA SEGURIDAD PUBLICA'!L17</f>
        <v>0</v>
      </c>
      <c r="O336" s="19">
        <f ca="1">'2RA SEGURIDAD PUBLICA'!M17</f>
        <v>0</v>
      </c>
      <c r="P336" s="19">
        <f ca="1">'2RA SEGURIDAD PUBLICA'!N17</f>
        <v>0</v>
      </c>
      <c r="Q336" s="19">
        <f ca="1">'2RA SEGURIDAD PUBLICA'!O17</f>
        <v>0</v>
      </c>
      <c r="R336" s="19">
        <f ca="1">'2RA SEGURIDAD PUBLICA'!P17</f>
        <v>0</v>
      </c>
      <c r="S336" s="19">
        <f ca="1">'2RA SEGURIDAD PUBLICA'!Q17</f>
        <v>0</v>
      </c>
      <c r="T336" s="19">
        <f ca="1">'2RA SEGURIDAD PUBLICA'!R17</f>
        <v>0</v>
      </c>
      <c r="U336" s="21">
        <f ca="1">'2RA SEGURIDAD PUBLICA'!S17</f>
        <v>0</v>
      </c>
    </row>
    <row r="337" spans="1:21" ht="39.75" customHeight="1">
      <c r="A337" s="53"/>
      <c r="B337" s="53"/>
      <c r="C337" s="7" t="s">
        <v>386</v>
      </c>
      <c r="D337" s="16">
        <v>1</v>
      </c>
      <c r="E337" s="16" t="s">
        <v>371</v>
      </c>
      <c r="F337" s="17" t="str">
        <f ca="1">'1RA SEGURIDAD PUBLICA'!D18</f>
        <v>ASCENDENTE</v>
      </c>
      <c r="G337" s="17" t="str">
        <f ca="1">'1RA SEGURIDAD PUBLICA'!E18</f>
        <v>BITACORA OPERATIVA</v>
      </c>
      <c r="H337" s="18">
        <f ca="1">'2RA SEGURIDAD PUBLICA'!F18</f>
        <v>0</v>
      </c>
      <c r="I337" s="19">
        <f ca="1">'2RA SEGURIDAD PUBLICA'!G18</f>
        <v>0</v>
      </c>
      <c r="J337" s="19">
        <f ca="1">'2RA SEGURIDAD PUBLICA'!H18</f>
        <v>0</v>
      </c>
      <c r="K337" s="19">
        <f ca="1">'2RA SEGURIDAD PUBLICA'!I18</f>
        <v>0</v>
      </c>
      <c r="L337" s="19">
        <f ca="1">'2RA SEGURIDAD PUBLICA'!J18</f>
        <v>0</v>
      </c>
      <c r="M337" s="19">
        <f ca="1">'2RA SEGURIDAD PUBLICA'!K18</f>
        <v>0</v>
      </c>
      <c r="N337" s="19">
        <f ca="1">'2RA SEGURIDAD PUBLICA'!L18</f>
        <v>0</v>
      </c>
      <c r="O337" s="19">
        <f ca="1">'2RA SEGURIDAD PUBLICA'!M18</f>
        <v>0</v>
      </c>
      <c r="P337" s="19">
        <f ca="1">'2RA SEGURIDAD PUBLICA'!N18</f>
        <v>0</v>
      </c>
      <c r="Q337" s="19">
        <f ca="1">'2RA SEGURIDAD PUBLICA'!O18</f>
        <v>0</v>
      </c>
      <c r="R337" s="19">
        <f ca="1">'2RA SEGURIDAD PUBLICA'!P18</f>
        <v>0</v>
      </c>
      <c r="S337" s="19">
        <f ca="1">'2RA SEGURIDAD PUBLICA'!Q18</f>
        <v>0</v>
      </c>
      <c r="T337" s="19">
        <f ca="1">'2RA SEGURIDAD PUBLICA'!R18</f>
        <v>0</v>
      </c>
      <c r="U337" s="21">
        <f ca="1">'2RA SEGURIDAD PUBLICA'!S18</f>
        <v>0</v>
      </c>
    </row>
    <row r="338" spans="1:21" ht="39.75" customHeight="1">
      <c r="A338" s="53"/>
      <c r="B338" s="53"/>
      <c r="C338" s="7" t="s">
        <v>387</v>
      </c>
      <c r="D338" s="16">
        <v>1</v>
      </c>
      <c r="E338" s="16" t="s">
        <v>371</v>
      </c>
      <c r="F338" s="17" t="str">
        <f ca="1">'1RA SEGURIDAD PUBLICA'!D19</f>
        <v>ASCENDENTE</v>
      </c>
      <c r="G338" s="17" t="str">
        <f ca="1">'1RA SEGURIDAD PUBLICA'!E19</f>
        <v>BITACORA OPERATIVA</v>
      </c>
      <c r="H338" s="18">
        <f ca="1">'2RA SEGURIDAD PUBLICA'!F19</f>
        <v>0</v>
      </c>
      <c r="I338" s="19">
        <f ca="1">'2RA SEGURIDAD PUBLICA'!G19</f>
        <v>0</v>
      </c>
      <c r="J338" s="19">
        <f ca="1">'2RA SEGURIDAD PUBLICA'!H19</f>
        <v>0</v>
      </c>
      <c r="K338" s="19">
        <f ca="1">'2RA SEGURIDAD PUBLICA'!I19</f>
        <v>0</v>
      </c>
      <c r="L338" s="19">
        <f ca="1">'2RA SEGURIDAD PUBLICA'!J19</f>
        <v>0</v>
      </c>
      <c r="M338" s="19">
        <f ca="1">'2RA SEGURIDAD PUBLICA'!K19</f>
        <v>0</v>
      </c>
      <c r="N338" s="19">
        <f ca="1">'2RA SEGURIDAD PUBLICA'!L19</f>
        <v>0</v>
      </c>
      <c r="O338" s="19">
        <f ca="1">'2RA SEGURIDAD PUBLICA'!M19</f>
        <v>0</v>
      </c>
      <c r="P338" s="19">
        <f ca="1">'2RA SEGURIDAD PUBLICA'!N19</f>
        <v>0</v>
      </c>
      <c r="Q338" s="19">
        <f ca="1">'2RA SEGURIDAD PUBLICA'!O19</f>
        <v>0</v>
      </c>
      <c r="R338" s="19">
        <f ca="1">'2RA SEGURIDAD PUBLICA'!P19</f>
        <v>0</v>
      </c>
      <c r="S338" s="19">
        <f ca="1">'2RA SEGURIDAD PUBLICA'!Q19</f>
        <v>0</v>
      </c>
      <c r="T338" s="19">
        <f ca="1">'2RA SEGURIDAD PUBLICA'!R19</f>
        <v>0</v>
      </c>
      <c r="U338" s="21">
        <f ca="1">'2RA SEGURIDAD PUBLICA'!S19</f>
        <v>0</v>
      </c>
    </row>
    <row r="339" spans="1:21" ht="39.75" customHeight="1">
      <c r="A339" s="53"/>
      <c r="B339" s="53"/>
      <c r="C339" s="7" t="s">
        <v>388</v>
      </c>
      <c r="D339" s="16">
        <v>1</v>
      </c>
      <c r="E339" s="16" t="s">
        <v>389</v>
      </c>
      <c r="F339" s="17" t="str">
        <f ca="1">'1RA SEGURIDAD PUBLICA'!D20</f>
        <v>ASCENDENTE</v>
      </c>
      <c r="G339" s="17" t="str">
        <f ca="1">'1RA SEGURIDAD PUBLICA'!E20</f>
        <v>BITACORA OPERATIVA</v>
      </c>
      <c r="H339" s="18">
        <f ca="1">'2RA SEGURIDAD PUBLICA'!F20</f>
        <v>0</v>
      </c>
      <c r="I339" s="19">
        <f ca="1">'2RA SEGURIDAD PUBLICA'!G20</f>
        <v>0</v>
      </c>
      <c r="J339" s="19">
        <f ca="1">'2RA SEGURIDAD PUBLICA'!H20</f>
        <v>0</v>
      </c>
      <c r="K339" s="19">
        <f ca="1">'2RA SEGURIDAD PUBLICA'!I20</f>
        <v>0</v>
      </c>
      <c r="L339" s="19">
        <f ca="1">'2RA SEGURIDAD PUBLICA'!J20</f>
        <v>0</v>
      </c>
      <c r="M339" s="19">
        <f ca="1">'2RA SEGURIDAD PUBLICA'!K20</f>
        <v>0</v>
      </c>
      <c r="N339" s="19">
        <f ca="1">'2RA SEGURIDAD PUBLICA'!L20</f>
        <v>0</v>
      </c>
      <c r="O339" s="19">
        <f ca="1">'2RA SEGURIDAD PUBLICA'!M20</f>
        <v>0</v>
      </c>
      <c r="P339" s="19">
        <f ca="1">'2RA SEGURIDAD PUBLICA'!N20</f>
        <v>0</v>
      </c>
      <c r="Q339" s="19">
        <f ca="1">'2RA SEGURIDAD PUBLICA'!O20</f>
        <v>0</v>
      </c>
      <c r="R339" s="19">
        <f ca="1">'2RA SEGURIDAD PUBLICA'!P20</f>
        <v>0</v>
      </c>
      <c r="S339" s="19">
        <f ca="1">'2RA SEGURIDAD PUBLICA'!Q20</f>
        <v>0</v>
      </c>
      <c r="T339" s="19">
        <f ca="1">'2RA SEGURIDAD PUBLICA'!R20</f>
        <v>0</v>
      </c>
      <c r="U339" s="21">
        <f ca="1">'2RA SEGURIDAD PUBLICA'!S20</f>
        <v>0</v>
      </c>
    </row>
    <row r="340" spans="1:21" ht="39.75" customHeight="1">
      <c r="A340" s="53"/>
      <c r="B340" s="53"/>
      <c r="C340" s="7" t="s">
        <v>390</v>
      </c>
      <c r="D340" s="16">
        <v>1</v>
      </c>
      <c r="E340" s="16" t="s">
        <v>391</v>
      </c>
      <c r="F340" s="17" t="str">
        <f ca="1">'1RA SEGURIDAD PUBLICA'!D21</f>
        <v>ASCENDENTE</v>
      </c>
      <c r="G340" s="17" t="str">
        <f ca="1">'1RA SEGURIDAD PUBLICA'!E21</f>
        <v>BITACORA OPERATIVA</v>
      </c>
      <c r="H340" s="18">
        <f ca="1">'2RA SEGURIDAD PUBLICA'!F21</f>
        <v>0</v>
      </c>
      <c r="I340" s="19">
        <f ca="1">'2RA SEGURIDAD PUBLICA'!G21</f>
        <v>0</v>
      </c>
      <c r="J340" s="19">
        <f ca="1">'2RA SEGURIDAD PUBLICA'!H21</f>
        <v>0</v>
      </c>
      <c r="K340" s="19">
        <f ca="1">'2RA SEGURIDAD PUBLICA'!I21</f>
        <v>0</v>
      </c>
      <c r="L340" s="19">
        <f ca="1">'2RA SEGURIDAD PUBLICA'!J21</f>
        <v>0</v>
      </c>
      <c r="M340" s="19">
        <f ca="1">'2RA SEGURIDAD PUBLICA'!K21</f>
        <v>0</v>
      </c>
      <c r="N340" s="19">
        <f ca="1">'2RA SEGURIDAD PUBLICA'!L21</f>
        <v>0</v>
      </c>
      <c r="O340" s="19">
        <f ca="1">'2RA SEGURIDAD PUBLICA'!M21</f>
        <v>0</v>
      </c>
      <c r="P340" s="19">
        <f ca="1">'2RA SEGURIDAD PUBLICA'!N21</f>
        <v>0</v>
      </c>
      <c r="Q340" s="19">
        <f ca="1">'2RA SEGURIDAD PUBLICA'!O21</f>
        <v>0</v>
      </c>
      <c r="R340" s="19">
        <f ca="1">'2RA SEGURIDAD PUBLICA'!P21</f>
        <v>0</v>
      </c>
      <c r="S340" s="19">
        <f ca="1">'2RA SEGURIDAD PUBLICA'!Q21</f>
        <v>0</v>
      </c>
      <c r="T340" s="19">
        <f ca="1">'2RA SEGURIDAD PUBLICA'!R21</f>
        <v>0</v>
      </c>
      <c r="U340" s="21">
        <f ca="1">'2RA SEGURIDAD PUBLICA'!S21</f>
        <v>0</v>
      </c>
    </row>
    <row r="341" spans="1:21" ht="39.75" customHeight="1">
      <c r="A341" s="53"/>
      <c r="B341" s="53"/>
      <c r="C341" s="7" t="s">
        <v>392</v>
      </c>
      <c r="D341" s="16">
        <v>1</v>
      </c>
      <c r="E341" s="16" t="s">
        <v>393</v>
      </c>
      <c r="F341" s="17" t="str">
        <f ca="1">'1RA SEGURIDAD PUBLICA'!D22</f>
        <v>ASCENDENTE</v>
      </c>
      <c r="G341" s="17" t="str">
        <f ca="1">'1RA SEGURIDAD PUBLICA'!E22</f>
        <v>BITACORA OPERATIVA</v>
      </c>
      <c r="H341" s="18">
        <f ca="1">'2RA SEGURIDAD PUBLICA'!F22</f>
        <v>0</v>
      </c>
      <c r="I341" s="19">
        <f ca="1">'2RA SEGURIDAD PUBLICA'!G22</f>
        <v>0</v>
      </c>
      <c r="J341" s="19">
        <f ca="1">'2RA SEGURIDAD PUBLICA'!H22</f>
        <v>0</v>
      </c>
      <c r="K341" s="19">
        <f ca="1">'2RA SEGURIDAD PUBLICA'!I22</f>
        <v>0</v>
      </c>
      <c r="L341" s="19">
        <f ca="1">'2RA SEGURIDAD PUBLICA'!J22</f>
        <v>0</v>
      </c>
      <c r="M341" s="19">
        <f ca="1">'2RA SEGURIDAD PUBLICA'!K22</f>
        <v>0</v>
      </c>
      <c r="N341" s="19">
        <f ca="1">'2RA SEGURIDAD PUBLICA'!L22</f>
        <v>0</v>
      </c>
      <c r="O341" s="19">
        <f ca="1">'2RA SEGURIDAD PUBLICA'!M22</f>
        <v>0</v>
      </c>
      <c r="P341" s="19">
        <f ca="1">'2RA SEGURIDAD PUBLICA'!N22</f>
        <v>0</v>
      </c>
      <c r="Q341" s="19">
        <f ca="1">'2RA SEGURIDAD PUBLICA'!O22</f>
        <v>0</v>
      </c>
      <c r="R341" s="19">
        <f ca="1">'2RA SEGURIDAD PUBLICA'!P22</f>
        <v>0</v>
      </c>
      <c r="S341" s="19">
        <f ca="1">'2RA SEGURIDAD PUBLICA'!Q22</f>
        <v>0</v>
      </c>
      <c r="T341" s="19">
        <f ca="1">'2RA SEGURIDAD PUBLICA'!R22</f>
        <v>0</v>
      </c>
      <c r="U341" s="21">
        <f ca="1">'2RA SEGURIDAD PUBLICA'!S22</f>
        <v>0</v>
      </c>
    </row>
    <row r="342" spans="1:21" ht="39.75" customHeight="1">
      <c r="A342" s="53"/>
      <c r="B342" s="53"/>
      <c r="C342" s="7" t="s">
        <v>394</v>
      </c>
      <c r="D342" s="16">
        <v>21</v>
      </c>
      <c r="E342" s="16" t="s">
        <v>395</v>
      </c>
      <c r="F342" s="17" t="str">
        <f ca="1">'1RA SEGURIDAD PUBLICA'!D23</f>
        <v>ASCENDENTE</v>
      </c>
      <c r="G342" s="17" t="str">
        <f ca="1">'1RA SEGURIDAD PUBLICA'!E23</f>
        <v>BITACORA OPERATIVA</v>
      </c>
      <c r="H342" s="18">
        <f ca="1">'2RA SEGURIDAD PUBLICA'!F23</f>
        <v>0</v>
      </c>
      <c r="I342" s="19">
        <f ca="1">'2RA SEGURIDAD PUBLICA'!G23</f>
        <v>0</v>
      </c>
      <c r="J342" s="19">
        <f ca="1">'2RA SEGURIDAD PUBLICA'!H23</f>
        <v>0</v>
      </c>
      <c r="K342" s="19">
        <f ca="1">'2RA SEGURIDAD PUBLICA'!I23</f>
        <v>0</v>
      </c>
      <c r="L342" s="19">
        <f ca="1">'2RA SEGURIDAD PUBLICA'!J23</f>
        <v>0</v>
      </c>
      <c r="M342" s="19">
        <f ca="1">'2RA SEGURIDAD PUBLICA'!K23</f>
        <v>0</v>
      </c>
      <c r="N342" s="19">
        <f ca="1">'2RA SEGURIDAD PUBLICA'!L23</f>
        <v>0</v>
      </c>
      <c r="O342" s="19">
        <f ca="1">'2RA SEGURIDAD PUBLICA'!M23</f>
        <v>0</v>
      </c>
      <c r="P342" s="19">
        <f ca="1">'2RA SEGURIDAD PUBLICA'!N23</f>
        <v>0</v>
      </c>
      <c r="Q342" s="19">
        <f ca="1">'2RA SEGURIDAD PUBLICA'!O23</f>
        <v>0</v>
      </c>
      <c r="R342" s="19">
        <f ca="1">'2RA SEGURIDAD PUBLICA'!P23</f>
        <v>0</v>
      </c>
      <c r="S342" s="19">
        <f ca="1">'2RA SEGURIDAD PUBLICA'!Q23</f>
        <v>0</v>
      </c>
      <c r="T342" s="19">
        <f ca="1">'2RA SEGURIDAD PUBLICA'!R23</f>
        <v>0</v>
      </c>
      <c r="U342" s="21">
        <f ca="1">'2RA SEGURIDAD PUBLICA'!S23</f>
        <v>0</v>
      </c>
    </row>
    <row r="343" spans="1:21" ht="39.75" customHeight="1">
      <c r="A343" s="53"/>
      <c r="B343" s="53"/>
      <c r="C343" s="7" t="s">
        <v>396</v>
      </c>
      <c r="D343" s="16">
        <v>1</v>
      </c>
      <c r="E343" s="16" t="s">
        <v>397</v>
      </c>
      <c r="F343" s="17" t="str">
        <f ca="1">'1RA SEGURIDAD PUBLICA'!D24</f>
        <v>ASCENDENTE</v>
      </c>
      <c r="G343" s="17" t="str">
        <f ca="1">'1RA SEGURIDAD PUBLICA'!E24</f>
        <v>BITACORA OPERATIVA</v>
      </c>
      <c r="H343" s="18">
        <f ca="1">'2RA SEGURIDAD PUBLICA'!F24</f>
        <v>0</v>
      </c>
      <c r="I343" s="19">
        <f ca="1">'2RA SEGURIDAD PUBLICA'!G24</f>
        <v>0</v>
      </c>
      <c r="J343" s="19">
        <f ca="1">'2RA SEGURIDAD PUBLICA'!H24</f>
        <v>0</v>
      </c>
      <c r="K343" s="19">
        <f ca="1">'2RA SEGURIDAD PUBLICA'!I24</f>
        <v>0</v>
      </c>
      <c r="L343" s="19">
        <f ca="1">'2RA SEGURIDAD PUBLICA'!J24</f>
        <v>0</v>
      </c>
      <c r="M343" s="19">
        <f ca="1">'2RA SEGURIDAD PUBLICA'!K24</f>
        <v>0</v>
      </c>
      <c r="N343" s="19">
        <f ca="1">'2RA SEGURIDAD PUBLICA'!L24</f>
        <v>0</v>
      </c>
      <c r="O343" s="19">
        <f ca="1">'2RA SEGURIDAD PUBLICA'!M24</f>
        <v>0</v>
      </c>
      <c r="P343" s="19">
        <f ca="1">'2RA SEGURIDAD PUBLICA'!N24</f>
        <v>0</v>
      </c>
      <c r="Q343" s="19">
        <f ca="1">'2RA SEGURIDAD PUBLICA'!O24</f>
        <v>0</v>
      </c>
      <c r="R343" s="19">
        <f ca="1">'2RA SEGURIDAD PUBLICA'!P24</f>
        <v>0</v>
      </c>
      <c r="S343" s="19">
        <f ca="1">'2RA SEGURIDAD PUBLICA'!Q24</f>
        <v>0</v>
      </c>
      <c r="T343" s="19">
        <f ca="1">'2RA SEGURIDAD PUBLICA'!R24</f>
        <v>0</v>
      </c>
      <c r="U343" s="21">
        <f ca="1">'2RA SEGURIDAD PUBLICA'!S24</f>
        <v>0</v>
      </c>
    </row>
    <row r="344" spans="1:21" ht="39.75" customHeight="1">
      <c r="A344" s="53"/>
      <c r="B344" s="53"/>
      <c r="C344" s="7" t="s">
        <v>398</v>
      </c>
      <c r="D344" s="16">
        <v>1</v>
      </c>
      <c r="E344" s="16" t="s">
        <v>399</v>
      </c>
      <c r="F344" s="17" t="str">
        <f ca="1">'1RA SEGURIDAD PUBLICA'!D25</f>
        <v>ASCENDENTE</v>
      </c>
      <c r="G344" s="17" t="str">
        <f ca="1">'1RA SEGURIDAD PUBLICA'!E25</f>
        <v>BITACORA OPERATIVA</v>
      </c>
      <c r="H344" s="18">
        <f ca="1">'2RA SEGURIDAD PUBLICA'!F25</f>
        <v>0</v>
      </c>
      <c r="I344" s="19">
        <f ca="1">'2RA SEGURIDAD PUBLICA'!G25</f>
        <v>0</v>
      </c>
      <c r="J344" s="19">
        <f ca="1">'2RA SEGURIDAD PUBLICA'!H25</f>
        <v>0</v>
      </c>
      <c r="K344" s="19">
        <f ca="1">'2RA SEGURIDAD PUBLICA'!I25</f>
        <v>0</v>
      </c>
      <c r="L344" s="19">
        <f ca="1">'2RA SEGURIDAD PUBLICA'!J25</f>
        <v>0</v>
      </c>
      <c r="M344" s="19">
        <f ca="1">'2RA SEGURIDAD PUBLICA'!K25</f>
        <v>0</v>
      </c>
      <c r="N344" s="19">
        <f ca="1">'2RA SEGURIDAD PUBLICA'!L25</f>
        <v>0</v>
      </c>
      <c r="O344" s="19">
        <f ca="1">'2RA SEGURIDAD PUBLICA'!M25</f>
        <v>0</v>
      </c>
      <c r="P344" s="19">
        <f ca="1">'2RA SEGURIDAD PUBLICA'!N25</f>
        <v>0</v>
      </c>
      <c r="Q344" s="19">
        <f ca="1">'2RA SEGURIDAD PUBLICA'!O25</f>
        <v>0</v>
      </c>
      <c r="R344" s="19">
        <f ca="1">'2RA SEGURIDAD PUBLICA'!P25</f>
        <v>0</v>
      </c>
      <c r="S344" s="19">
        <f ca="1">'2RA SEGURIDAD PUBLICA'!Q25</f>
        <v>0</v>
      </c>
      <c r="T344" s="19">
        <f ca="1">'2RA SEGURIDAD PUBLICA'!R25</f>
        <v>0</v>
      </c>
      <c r="U344" s="21">
        <f ca="1">'2RA SEGURIDAD PUBLICA'!S25</f>
        <v>0</v>
      </c>
    </row>
    <row r="345" spans="1:21" ht="39.75" customHeight="1">
      <c r="A345" s="53"/>
      <c r="B345" s="53"/>
      <c r="C345" s="7" t="s">
        <v>400</v>
      </c>
      <c r="D345" s="16">
        <v>5</v>
      </c>
      <c r="E345" s="16" t="s">
        <v>401</v>
      </c>
      <c r="F345" s="17" t="str">
        <f ca="1">'1RA SEGURIDAD PUBLICA'!D26</f>
        <v>DESCENDENTE</v>
      </c>
      <c r="G345" s="17" t="str">
        <f ca="1">'1RA SEGURIDAD PUBLICA'!E26</f>
        <v>BITACORA OPERATIVA</v>
      </c>
      <c r="H345" s="18">
        <f ca="1">'2RA SEGURIDAD PUBLICA'!F26</f>
        <v>0</v>
      </c>
      <c r="I345" s="19">
        <f ca="1">'2RA SEGURIDAD PUBLICA'!G26</f>
        <v>0</v>
      </c>
      <c r="J345" s="19">
        <f ca="1">'2RA SEGURIDAD PUBLICA'!H26</f>
        <v>0</v>
      </c>
      <c r="K345" s="19">
        <f ca="1">'2RA SEGURIDAD PUBLICA'!I26</f>
        <v>0</v>
      </c>
      <c r="L345" s="19">
        <f ca="1">'2RA SEGURIDAD PUBLICA'!J26</f>
        <v>0</v>
      </c>
      <c r="M345" s="19">
        <f ca="1">'2RA SEGURIDAD PUBLICA'!K26</f>
        <v>0</v>
      </c>
      <c r="N345" s="19">
        <f ca="1">'2RA SEGURIDAD PUBLICA'!L26</f>
        <v>0</v>
      </c>
      <c r="O345" s="19">
        <f ca="1">'2RA SEGURIDAD PUBLICA'!M26</f>
        <v>0</v>
      </c>
      <c r="P345" s="19">
        <f ca="1">'2RA SEGURIDAD PUBLICA'!N26</f>
        <v>0</v>
      </c>
      <c r="Q345" s="19">
        <f ca="1">'2RA SEGURIDAD PUBLICA'!O26</f>
        <v>0</v>
      </c>
      <c r="R345" s="19">
        <f ca="1">'2RA SEGURIDAD PUBLICA'!P26</f>
        <v>0</v>
      </c>
      <c r="S345" s="19">
        <f ca="1">'2RA SEGURIDAD PUBLICA'!Q26</f>
        <v>0</v>
      </c>
      <c r="T345" s="19">
        <f ca="1">'2RA SEGURIDAD PUBLICA'!R26</f>
        <v>0</v>
      </c>
      <c r="U345" s="21">
        <f ca="1">'2RA SEGURIDAD PUBLICA'!S26</f>
        <v>0</v>
      </c>
    </row>
    <row r="346" spans="1:21" ht="39.75" customHeight="1">
      <c r="A346" s="53"/>
      <c r="B346" s="53"/>
      <c r="C346" s="7" t="s">
        <v>402</v>
      </c>
      <c r="D346" s="16">
        <v>2</v>
      </c>
      <c r="E346" s="16" t="s">
        <v>403</v>
      </c>
      <c r="F346" s="17" t="str">
        <f ca="1">'1RA SEGURIDAD PUBLICA'!D27</f>
        <v>DESCENDENTE</v>
      </c>
      <c r="G346" s="17" t="str">
        <f ca="1">'1RA SEGURIDAD PUBLICA'!E27</f>
        <v>BITACORA OPERATIVA</v>
      </c>
      <c r="H346" s="18">
        <f ca="1">'2RA SEGURIDAD PUBLICA'!F27</f>
        <v>0</v>
      </c>
      <c r="I346" s="19">
        <f ca="1">'2RA SEGURIDAD PUBLICA'!G27</f>
        <v>0</v>
      </c>
      <c r="J346" s="19">
        <f ca="1">'2RA SEGURIDAD PUBLICA'!H27</f>
        <v>0</v>
      </c>
      <c r="K346" s="19">
        <f ca="1">'2RA SEGURIDAD PUBLICA'!I27</f>
        <v>0</v>
      </c>
      <c r="L346" s="19">
        <f ca="1">'2RA SEGURIDAD PUBLICA'!J27</f>
        <v>0</v>
      </c>
      <c r="M346" s="19">
        <f ca="1">'2RA SEGURIDAD PUBLICA'!K27</f>
        <v>0</v>
      </c>
      <c r="N346" s="19">
        <f ca="1">'2RA SEGURIDAD PUBLICA'!L27</f>
        <v>0</v>
      </c>
      <c r="O346" s="19">
        <f ca="1">'2RA SEGURIDAD PUBLICA'!M27</f>
        <v>0</v>
      </c>
      <c r="P346" s="19">
        <f ca="1">'2RA SEGURIDAD PUBLICA'!N27</f>
        <v>0</v>
      </c>
      <c r="Q346" s="19">
        <f ca="1">'2RA SEGURIDAD PUBLICA'!O27</f>
        <v>0</v>
      </c>
      <c r="R346" s="19">
        <f ca="1">'2RA SEGURIDAD PUBLICA'!P27</f>
        <v>0</v>
      </c>
      <c r="S346" s="19">
        <f ca="1">'2RA SEGURIDAD PUBLICA'!Q27</f>
        <v>0</v>
      </c>
      <c r="T346" s="19">
        <f ca="1">'2RA SEGURIDAD PUBLICA'!R27</f>
        <v>0</v>
      </c>
      <c r="U346" s="21">
        <f ca="1">'2RA SEGURIDAD PUBLICA'!S27</f>
        <v>0</v>
      </c>
    </row>
    <row r="347" spans="1:21" ht="39.75" customHeight="1">
      <c r="A347" s="53"/>
      <c r="B347" s="53"/>
      <c r="C347" s="7" t="s">
        <v>404</v>
      </c>
      <c r="D347" s="16">
        <v>1</v>
      </c>
      <c r="E347" s="16" t="s">
        <v>393</v>
      </c>
      <c r="F347" s="17" t="str">
        <f ca="1">'1RA SEGURIDAD PUBLICA'!D28</f>
        <v>DESCENDENTE</v>
      </c>
      <c r="G347" s="17" t="str">
        <f ca="1">'1RA SEGURIDAD PUBLICA'!E28</f>
        <v>BITACORA OPERATIVA</v>
      </c>
      <c r="H347" s="18">
        <f ca="1">'2RA SEGURIDAD PUBLICA'!F28</f>
        <v>0</v>
      </c>
      <c r="I347" s="19">
        <f ca="1">'2RA SEGURIDAD PUBLICA'!G28</f>
        <v>0</v>
      </c>
      <c r="J347" s="19">
        <f ca="1">'2RA SEGURIDAD PUBLICA'!H28</f>
        <v>0</v>
      </c>
      <c r="K347" s="19">
        <f ca="1">'2RA SEGURIDAD PUBLICA'!I28</f>
        <v>0</v>
      </c>
      <c r="L347" s="19">
        <f ca="1">'2RA SEGURIDAD PUBLICA'!J28</f>
        <v>0</v>
      </c>
      <c r="M347" s="19">
        <f ca="1">'2RA SEGURIDAD PUBLICA'!K28</f>
        <v>0</v>
      </c>
      <c r="N347" s="19">
        <f ca="1">'2RA SEGURIDAD PUBLICA'!L28</f>
        <v>0</v>
      </c>
      <c r="O347" s="19">
        <f ca="1">'2RA SEGURIDAD PUBLICA'!M28</f>
        <v>0</v>
      </c>
      <c r="P347" s="19">
        <f ca="1">'2RA SEGURIDAD PUBLICA'!N28</f>
        <v>0</v>
      </c>
      <c r="Q347" s="19">
        <f ca="1">'2RA SEGURIDAD PUBLICA'!O28</f>
        <v>0</v>
      </c>
      <c r="R347" s="19">
        <f ca="1">'2RA SEGURIDAD PUBLICA'!P28</f>
        <v>0</v>
      </c>
      <c r="S347" s="19">
        <f ca="1">'2RA SEGURIDAD PUBLICA'!Q28</f>
        <v>0</v>
      </c>
      <c r="T347" s="19">
        <f ca="1">'2RA SEGURIDAD PUBLICA'!R28</f>
        <v>0</v>
      </c>
      <c r="U347" s="21">
        <f ca="1">'2RA SEGURIDAD PUBLICA'!S28</f>
        <v>0</v>
      </c>
    </row>
    <row r="348" spans="1:21" ht="39.75" customHeight="1">
      <c r="A348" s="53"/>
      <c r="B348" s="53"/>
      <c r="C348" s="7" t="s">
        <v>405</v>
      </c>
      <c r="D348" s="16">
        <v>1</v>
      </c>
      <c r="E348" s="16" t="s">
        <v>406</v>
      </c>
      <c r="F348" s="17" t="str">
        <f ca="1">'1RA SEGURIDAD PUBLICA'!D29</f>
        <v>DESCENDENTE</v>
      </c>
      <c r="G348" s="17" t="str">
        <f ca="1">'1RA SEGURIDAD PUBLICA'!E29</f>
        <v>BITACORA OPERATIVA</v>
      </c>
      <c r="H348" s="18">
        <f ca="1">'2RA SEGURIDAD PUBLICA'!F29</f>
        <v>0</v>
      </c>
      <c r="I348" s="19">
        <f ca="1">'2RA SEGURIDAD PUBLICA'!G29</f>
        <v>0</v>
      </c>
      <c r="J348" s="19">
        <f ca="1">'2RA SEGURIDAD PUBLICA'!H29</f>
        <v>0</v>
      </c>
      <c r="K348" s="19">
        <f ca="1">'2RA SEGURIDAD PUBLICA'!I29</f>
        <v>0</v>
      </c>
      <c r="L348" s="19">
        <f ca="1">'2RA SEGURIDAD PUBLICA'!J29</f>
        <v>0</v>
      </c>
      <c r="M348" s="19">
        <f ca="1">'2RA SEGURIDAD PUBLICA'!K29</f>
        <v>0</v>
      </c>
      <c r="N348" s="19">
        <f ca="1">'2RA SEGURIDAD PUBLICA'!L29</f>
        <v>0</v>
      </c>
      <c r="O348" s="19">
        <f ca="1">'2RA SEGURIDAD PUBLICA'!M29</f>
        <v>0</v>
      </c>
      <c r="P348" s="19">
        <f ca="1">'2RA SEGURIDAD PUBLICA'!N29</f>
        <v>0</v>
      </c>
      <c r="Q348" s="19">
        <f ca="1">'2RA SEGURIDAD PUBLICA'!O29</f>
        <v>0</v>
      </c>
      <c r="R348" s="19">
        <f ca="1">'2RA SEGURIDAD PUBLICA'!P29</f>
        <v>0</v>
      </c>
      <c r="S348" s="19">
        <f ca="1">'2RA SEGURIDAD PUBLICA'!Q29</f>
        <v>0</v>
      </c>
      <c r="T348" s="19">
        <f ca="1">'2RA SEGURIDAD PUBLICA'!R29</f>
        <v>0</v>
      </c>
      <c r="U348" s="21">
        <f ca="1">'2RA SEGURIDAD PUBLICA'!S29</f>
        <v>0</v>
      </c>
    </row>
    <row r="349" spans="1:21" ht="39.75" customHeight="1">
      <c r="A349" s="53"/>
      <c r="B349" s="53"/>
      <c r="C349" s="7" t="s">
        <v>407</v>
      </c>
      <c r="D349" s="16">
        <v>4</v>
      </c>
      <c r="E349" s="16" t="s">
        <v>408</v>
      </c>
      <c r="F349" s="17" t="str">
        <f ca="1">'1RA SEGURIDAD PUBLICA'!D30</f>
        <v>DESCENDENTE</v>
      </c>
      <c r="G349" s="17" t="str">
        <f ca="1">'1RA SEGURIDAD PUBLICA'!E30</f>
        <v>BITACORA OPERATIVA</v>
      </c>
      <c r="H349" s="18">
        <f ca="1">'2RA SEGURIDAD PUBLICA'!F30</f>
        <v>0</v>
      </c>
      <c r="I349" s="19">
        <f ca="1">'2RA SEGURIDAD PUBLICA'!G30</f>
        <v>0</v>
      </c>
      <c r="J349" s="19">
        <f ca="1">'2RA SEGURIDAD PUBLICA'!H30</f>
        <v>0</v>
      </c>
      <c r="K349" s="19">
        <f ca="1">'2RA SEGURIDAD PUBLICA'!I30</f>
        <v>0</v>
      </c>
      <c r="L349" s="19">
        <f ca="1">'2RA SEGURIDAD PUBLICA'!J30</f>
        <v>0</v>
      </c>
      <c r="M349" s="19">
        <f ca="1">'2RA SEGURIDAD PUBLICA'!K30</f>
        <v>0</v>
      </c>
      <c r="N349" s="19">
        <f ca="1">'2RA SEGURIDAD PUBLICA'!L30</f>
        <v>0</v>
      </c>
      <c r="O349" s="19">
        <f ca="1">'2RA SEGURIDAD PUBLICA'!M30</f>
        <v>0</v>
      </c>
      <c r="P349" s="19">
        <f ca="1">'2RA SEGURIDAD PUBLICA'!N30</f>
        <v>0</v>
      </c>
      <c r="Q349" s="19">
        <f ca="1">'2RA SEGURIDAD PUBLICA'!O30</f>
        <v>0</v>
      </c>
      <c r="R349" s="19">
        <f ca="1">'2RA SEGURIDAD PUBLICA'!P30</f>
        <v>0</v>
      </c>
      <c r="S349" s="19">
        <f ca="1">'2RA SEGURIDAD PUBLICA'!Q30</f>
        <v>0</v>
      </c>
      <c r="T349" s="19">
        <f ca="1">'2RA SEGURIDAD PUBLICA'!R30</f>
        <v>0</v>
      </c>
      <c r="U349" s="21">
        <f ca="1">'2RA SEGURIDAD PUBLICA'!S30</f>
        <v>0</v>
      </c>
    </row>
    <row r="350" spans="1:21" ht="39.75" customHeight="1">
      <c r="A350" s="53"/>
      <c r="B350" s="53"/>
      <c r="C350" s="7" t="s">
        <v>409</v>
      </c>
      <c r="D350" s="16">
        <v>69</v>
      </c>
      <c r="E350" s="16" t="s">
        <v>410</v>
      </c>
      <c r="F350" s="17" t="str">
        <f ca="1">'1RA SEGURIDAD PUBLICA'!D31</f>
        <v>DESCENDENTE</v>
      </c>
      <c r="G350" s="17" t="str">
        <f ca="1">'1RA SEGURIDAD PUBLICA'!E31</f>
        <v>BITACORA OPERATIVA</v>
      </c>
      <c r="H350" s="18">
        <f ca="1">'2RA SEGURIDAD PUBLICA'!F31</f>
        <v>0</v>
      </c>
      <c r="I350" s="19">
        <f ca="1">'2RA SEGURIDAD PUBLICA'!G31</f>
        <v>0</v>
      </c>
      <c r="J350" s="19">
        <f ca="1">'2RA SEGURIDAD PUBLICA'!H31</f>
        <v>0</v>
      </c>
      <c r="K350" s="19">
        <f ca="1">'2RA SEGURIDAD PUBLICA'!I31</f>
        <v>0</v>
      </c>
      <c r="L350" s="19">
        <f ca="1">'2RA SEGURIDAD PUBLICA'!J31</f>
        <v>0</v>
      </c>
      <c r="M350" s="19">
        <f ca="1">'2RA SEGURIDAD PUBLICA'!K31</f>
        <v>0</v>
      </c>
      <c r="N350" s="19">
        <f ca="1">'2RA SEGURIDAD PUBLICA'!L31</f>
        <v>0</v>
      </c>
      <c r="O350" s="19">
        <f ca="1">'2RA SEGURIDAD PUBLICA'!M31</f>
        <v>0</v>
      </c>
      <c r="P350" s="19">
        <f ca="1">'2RA SEGURIDAD PUBLICA'!N31</f>
        <v>0</v>
      </c>
      <c r="Q350" s="19">
        <f ca="1">'2RA SEGURIDAD PUBLICA'!O31</f>
        <v>0</v>
      </c>
      <c r="R350" s="19">
        <f ca="1">'2RA SEGURIDAD PUBLICA'!P31</f>
        <v>0</v>
      </c>
      <c r="S350" s="19">
        <f ca="1">'2RA SEGURIDAD PUBLICA'!Q31</f>
        <v>0</v>
      </c>
      <c r="T350" s="19">
        <f ca="1">'2RA SEGURIDAD PUBLICA'!R31</f>
        <v>0</v>
      </c>
      <c r="U350" s="21">
        <f ca="1">'2RA SEGURIDAD PUBLICA'!S31</f>
        <v>0</v>
      </c>
    </row>
    <row r="351" spans="1:21" ht="39.75" customHeight="1">
      <c r="A351" s="53"/>
      <c r="B351" s="53"/>
      <c r="C351" s="7" t="s">
        <v>411</v>
      </c>
      <c r="D351" s="16">
        <v>11</v>
      </c>
      <c r="E351" s="16" t="s">
        <v>412</v>
      </c>
      <c r="F351" s="17" t="str">
        <f ca="1">'1RA SEGURIDAD PUBLICA'!D32</f>
        <v>DESCENDENTE</v>
      </c>
      <c r="G351" s="17" t="str">
        <f ca="1">'1RA SEGURIDAD PUBLICA'!E32</f>
        <v>BITACORA OPERATIVA</v>
      </c>
      <c r="H351" s="18">
        <f ca="1">'2RA SEGURIDAD PUBLICA'!F32</f>
        <v>0</v>
      </c>
      <c r="I351" s="19">
        <f ca="1">'2RA SEGURIDAD PUBLICA'!G32</f>
        <v>0</v>
      </c>
      <c r="J351" s="19">
        <f ca="1">'2RA SEGURIDAD PUBLICA'!H32</f>
        <v>0</v>
      </c>
      <c r="K351" s="19">
        <f ca="1">'2RA SEGURIDAD PUBLICA'!I32</f>
        <v>0</v>
      </c>
      <c r="L351" s="19">
        <f ca="1">'2RA SEGURIDAD PUBLICA'!J32</f>
        <v>0</v>
      </c>
      <c r="M351" s="19">
        <f ca="1">'2RA SEGURIDAD PUBLICA'!K32</f>
        <v>0</v>
      </c>
      <c r="N351" s="19">
        <f ca="1">'2RA SEGURIDAD PUBLICA'!L32</f>
        <v>0</v>
      </c>
      <c r="O351" s="19">
        <f ca="1">'2RA SEGURIDAD PUBLICA'!M32</f>
        <v>0</v>
      </c>
      <c r="P351" s="19">
        <f ca="1">'2RA SEGURIDAD PUBLICA'!N32</f>
        <v>0</v>
      </c>
      <c r="Q351" s="19">
        <f ca="1">'2RA SEGURIDAD PUBLICA'!O32</f>
        <v>0</v>
      </c>
      <c r="R351" s="19">
        <f ca="1">'2RA SEGURIDAD PUBLICA'!P32</f>
        <v>0</v>
      </c>
      <c r="S351" s="19">
        <f ca="1">'2RA SEGURIDAD PUBLICA'!Q32</f>
        <v>0</v>
      </c>
      <c r="T351" s="19">
        <f ca="1">'2RA SEGURIDAD PUBLICA'!R32</f>
        <v>0</v>
      </c>
      <c r="U351" s="21">
        <f ca="1">'2RA SEGURIDAD PUBLICA'!S32</f>
        <v>0</v>
      </c>
    </row>
    <row r="352" spans="1:21" ht="39.75" customHeight="1">
      <c r="A352" s="53"/>
      <c r="B352" s="53"/>
      <c r="C352" s="7" t="s">
        <v>413</v>
      </c>
      <c r="D352" s="16">
        <v>36</v>
      </c>
      <c r="E352" s="16" t="s">
        <v>413</v>
      </c>
      <c r="F352" s="17" t="str">
        <f ca="1">'1RA SEGURIDAD PUBLICA'!D33</f>
        <v>DESCENDENTE</v>
      </c>
      <c r="G352" s="17" t="str">
        <f ca="1">'1RA SEGURIDAD PUBLICA'!E33</f>
        <v>BITACORA OPERATIVA</v>
      </c>
      <c r="H352" s="18">
        <f ca="1">'2RA SEGURIDAD PUBLICA'!F33</f>
        <v>0</v>
      </c>
      <c r="I352" s="19">
        <f ca="1">'2RA SEGURIDAD PUBLICA'!G33</f>
        <v>0</v>
      </c>
      <c r="J352" s="19">
        <f ca="1">'2RA SEGURIDAD PUBLICA'!H33</f>
        <v>0</v>
      </c>
      <c r="K352" s="19">
        <f ca="1">'2RA SEGURIDAD PUBLICA'!I33</f>
        <v>0</v>
      </c>
      <c r="L352" s="19">
        <f ca="1">'2RA SEGURIDAD PUBLICA'!J33</f>
        <v>0</v>
      </c>
      <c r="M352" s="19">
        <f ca="1">'2RA SEGURIDAD PUBLICA'!K33</f>
        <v>0</v>
      </c>
      <c r="N352" s="19">
        <f ca="1">'2RA SEGURIDAD PUBLICA'!L33</f>
        <v>0</v>
      </c>
      <c r="O352" s="19">
        <f ca="1">'2RA SEGURIDAD PUBLICA'!M33</f>
        <v>0</v>
      </c>
      <c r="P352" s="19">
        <f ca="1">'2RA SEGURIDAD PUBLICA'!N33</f>
        <v>0</v>
      </c>
      <c r="Q352" s="19">
        <f ca="1">'2RA SEGURIDAD PUBLICA'!O33</f>
        <v>0</v>
      </c>
      <c r="R352" s="19">
        <f ca="1">'2RA SEGURIDAD PUBLICA'!P33</f>
        <v>0</v>
      </c>
      <c r="S352" s="19">
        <f ca="1">'2RA SEGURIDAD PUBLICA'!Q33</f>
        <v>0</v>
      </c>
      <c r="T352" s="19">
        <f ca="1">'2RA SEGURIDAD PUBLICA'!R33</f>
        <v>0</v>
      </c>
      <c r="U352" s="21">
        <f ca="1">'2RA SEGURIDAD PUBLICA'!S33</f>
        <v>0</v>
      </c>
    </row>
    <row r="353" spans="1:21" ht="39.75" customHeight="1">
      <c r="A353" s="53"/>
      <c r="B353" s="53"/>
      <c r="C353" s="7" t="s">
        <v>414</v>
      </c>
      <c r="D353" s="16">
        <v>220</v>
      </c>
      <c r="E353" s="16" t="s">
        <v>415</v>
      </c>
      <c r="F353" s="17" t="str">
        <f ca="1">'1RA SEGURIDAD PUBLICA'!D34</f>
        <v>DESCENDENTE</v>
      </c>
      <c r="G353" s="17" t="str">
        <f ca="1">'1RA SEGURIDAD PUBLICA'!E34</f>
        <v>BITACORA OPERATIVA</v>
      </c>
      <c r="H353" s="18">
        <f ca="1">'2RA SEGURIDAD PUBLICA'!F34</f>
        <v>0</v>
      </c>
      <c r="I353" s="19">
        <f ca="1">'2RA SEGURIDAD PUBLICA'!G34</f>
        <v>0</v>
      </c>
      <c r="J353" s="19">
        <f ca="1">'2RA SEGURIDAD PUBLICA'!H34</f>
        <v>0</v>
      </c>
      <c r="K353" s="19">
        <f ca="1">'2RA SEGURIDAD PUBLICA'!I34</f>
        <v>0</v>
      </c>
      <c r="L353" s="19">
        <f ca="1">'2RA SEGURIDAD PUBLICA'!J34</f>
        <v>0</v>
      </c>
      <c r="M353" s="19">
        <f ca="1">'2RA SEGURIDAD PUBLICA'!K34</f>
        <v>0</v>
      </c>
      <c r="N353" s="19">
        <f ca="1">'2RA SEGURIDAD PUBLICA'!L34</f>
        <v>0</v>
      </c>
      <c r="O353" s="19">
        <f ca="1">'2RA SEGURIDAD PUBLICA'!M34</f>
        <v>0</v>
      </c>
      <c r="P353" s="19">
        <f ca="1">'2RA SEGURIDAD PUBLICA'!N34</f>
        <v>0</v>
      </c>
      <c r="Q353" s="19">
        <f ca="1">'2RA SEGURIDAD PUBLICA'!O34</f>
        <v>0</v>
      </c>
      <c r="R353" s="19">
        <f ca="1">'2RA SEGURIDAD PUBLICA'!P34</f>
        <v>0</v>
      </c>
      <c r="S353" s="19">
        <f ca="1">'2RA SEGURIDAD PUBLICA'!Q34</f>
        <v>0</v>
      </c>
      <c r="T353" s="19">
        <f ca="1">'2RA SEGURIDAD PUBLICA'!R34</f>
        <v>0</v>
      </c>
      <c r="U353" s="21">
        <f ca="1">'2RA SEGURIDAD PUBLICA'!S34</f>
        <v>0</v>
      </c>
    </row>
    <row r="354" spans="1:21" ht="39.75" customHeight="1">
      <c r="A354" s="53"/>
      <c r="B354" s="51"/>
      <c r="C354" s="7" t="s">
        <v>416</v>
      </c>
      <c r="D354" s="16">
        <v>1</v>
      </c>
      <c r="E354" s="16" t="s">
        <v>416</v>
      </c>
      <c r="F354" s="17" t="str">
        <f ca="1">'1RA SEGURIDAD PUBLICA'!D35</f>
        <v>DESCENDENTE</v>
      </c>
      <c r="G354" s="17" t="str">
        <f ca="1">'1RA SEGURIDAD PUBLICA'!E35</f>
        <v>BITACORA OPERATIVA</v>
      </c>
      <c r="H354" s="18">
        <f ca="1">'2RA SEGURIDAD PUBLICA'!F35</f>
        <v>0</v>
      </c>
      <c r="I354" s="19">
        <f ca="1">'2RA SEGURIDAD PUBLICA'!G35</f>
        <v>0</v>
      </c>
      <c r="J354" s="19">
        <f ca="1">'2RA SEGURIDAD PUBLICA'!H35</f>
        <v>0</v>
      </c>
      <c r="K354" s="19">
        <f ca="1">'2RA SEGURIDAD PUBLICA'!I35</f>
        <v>0</v>
      </c>
      <c r="L354" s="19">
        <f ca="1">'2RA SEGURIDAD PUBLICA'!J35</f>
        <v>0</v>
      </c>
      <c r="M354" s="19">
        <f ca="1">'2RA SEGURIDAD PUBLICA'!K35</f>
        <v>0</v>
      </c>
      <c r="N354" s="19">
        <f ca="1">'2RA SEGURIDAD PUBLICA'!L35</f>
        <v>0</v>
      </c>
      <c r="O354" s="19">
        <f ca="1">'2RA SEGURIDAD PUBLICA'!M35</f>
        <v>0</v>
      </c>
      <c r="P354" s="19">
        <f ca="1">'2RA SEGURIDAD PUBLICA'!N35</f>
        <v>0</v>
      </c>
      <c r="Q354" s="19">
        <f ca="1">'2RA SEGURIDAD PUBLICA'!O35</f>
        <v>0</v>
      </c>
      <c r="R354" s="19">
        <f ca="1">'2RA SEGURIDAD PUBLICA'!P35</f>
        <v>0</v>
      </c>
      <c r="S354" s="19">
        <f ca="1">'2RA SEGURIDAD PUBLICA'!Q35</f>
        <v>0</v>
      </c>
      <c r="T354" s="19">
        <f ca="1">'2RA SEGURIDAD PUBLICA'!R35</f>
        <v>0</v>
      </c>
      <c r="U354" s="21">
        <f ca="1">'2RA SEGURIDAD PUBLICA'!S35</f>
        <v>0</v>
      </c>
    </row>
    <row r="355" spans="1:21" ht="39.75" customHeight="1">
      <c r="A355" s="53"/>
      <c r="B355" s="55" t="s">
        <v>417</v>
      </c>
      <c r="C355" s="7" t="s">
        <v>418</v>
      </c>
      <c r="D355" s="16">
        <v>3779</v>
      </c>
      <c r="E355" s="16" t="s">
        <v>419</v>
      </c>
      <c r="F355" s="17" t="str">
        <f ca="1">'1RA SEGURIDAD PUBLICA'!D36</f>
        <v>DESCENDENTE</v>
      </c>
      <c r="G355" s="17" t="str">
        <f ca="1">'1RA SEGURIDAD PUBLICA'!E36</f>
        <v>BITACORA OPERATIVA</v>
      </c>
      <c r="H355" s="18">
        <f ca="1">'2RA SEGURIDAD PUBLICA'!F36</f>
        <v>0</v>
      </c>
      <c r="I355" s="19">
        <f ca="1">'2RA SEGURIDAD PUBLICA'!G36</f>
        <v>0</v>
      </c>
      <c r="J355" s="19">
        <f ca="1">'2RA SEGURIDAD PUBLICA'!H36</f>
        <v>0</v>
      </c>
      <c r="K355" s="19">
        <f ca="1">'2RA SEGURIDAD PUBLICA'!I36</f>
        <v>0</v>
      </c>
      <c r="L355" s="19">
        <f ca="1">'2RA SEGURIDAD PUBLICA'!J36</f>
        <v>0</v>
      </c>
      <c r="M355" s="19">
        <f ca="1">'2RA SEGURIDAD PUBLICA'!K36</f>
        <v>0</v>
      </c>
      <c r="N355" s="19">
        <f ca="1">'2RA SEGURIDAD PUBLICA'!L36</f>
        <v>0</v>
      </c>
      <c r="O355" s="19">
        <f ca="1">'2RA SEGURIDAD PUBLICA'!M36</f>
        <v>0</v>
      </c>
      <c r="P355" s="19">
        <f ca="1">'2RA SEGURIDAD PUBLICA'!N36</f>
        <v>0</v>
      </c>
      <c r="Q355" s="19">
        <f ca="1">'2RA SEGURIDAD PUBLICA'!O36</f>
        <v>0</v>
      </c>
      <c r="R355" s="19">
        <f ca="1">'2RA SEGURIDAD PUBLICA'!P36</f>
        <v>0</v>
      </c>
      <c r="S355" s="19">
        <f ca="1">'2RA SEGURIDAD PUBLICA'!Q36</f>
        <v>0</v>
      </c>
      <c r="T355" s="19">
        <f ca="1">'2RA SEGURIDAD PUBLICA'!R36</f>
        <v>0</v>
      </c>
      <c r="U355" s="21">
        <f ca="1">'2RA SEGURIDAD PUBLICA'!S36</f>
        <v>0</v>
      </c>
    </row>
    <row r="356" spans="1:21" ht="39.75" customHeight="1">
      <c r="A356" s="53"/>
      <c r="B356" s="53"/>
      <c r="C356" s="7" t="s">
        <v>420</v>
      </c>
      <c r="D356" s="16">
        <v>1966</v>
      </c>
      <c r="E356" s="16" t="s">
        <v>421</v>
      </c>
      <c r="F356" s="17" t="str">
        <f ca="1">'1RA SEGURIDAD PUBLICA'!D37</f>
        <v>ASCENDENTE</v>
      </c>
      <c r="G356" s="17" t="str">
        <f ca="1">'1RA SEGURIDAD PUBLICA'!E37</f>
        <v>BITACORA OPERATIVA</v>
      </c>
      <c r="H356" s="18">
        <f ca="1">'2RA SEGURIDAD PUBLICA'!F37</f>
        <v>0</v>
      </c>
      <c r="I356" s="19">
        <f ca="1">'2RA SEGURIDAD PUBLICA'!G37</f>
        <v>0</v>
      </c>
      <c r="J356" s="19">
        <f ca="1">'2RA SEGURIDAD PUBLICA'!H37</f>
        <v>0</v>
      </c>
      <c r="K356" s="19">
        <f ca="1">'2RA SEGURIDAD PUBLICA'!I37</f>
        <v>0</v>
      </c>
      <c r="L356" s="19">
        <f ca="1">'2RA SEGURIDAD PUBLICA'!J37</f>
        <v>0</v>
      </c>
      <c r="M356" s="19">
        <f ca="1">'2RA SEGURIDAD PUBLICA'!K37</f>
        <v>0</v>
      </c>
      <c r="N356" s="19">
        <f ca="1">'2RA SEGURIDAD PUBLICA'!L37</f>
        <v>0</v>
      </c>
      <c r="O356" s="19">
        <f ca="1">'2RA SEGURIDAD PUBLICA'!M37</f>
        <v>0</v>
      </c>
      <c r="P356" s="19">
        <f ca="1">'2RA SEGURIDAD PUBLICA'!N37</f>
        <v>0</v>
      </c>
      <c r="Q356" s="19">
        <f ca="1">'2RA SEGURIDAD PUBLICA'!O37</f>
        <v>0</v>
      </c>
      <c r="R356" s="19">
        <f ca="1">'2RA SEGURIDAD PUBLICA'!P37</f>
        <v>0</v>
      </c>
      <c r="S356" s="19">
        <f ca="1">'2RA SEGURIDAD PUBLICA'!Q37</f>
        <v>0</v>
      </c>
      <c r="T356" s="19">
        <f ca="1">'2RA SEGURIDAD PUBLICA'!R37</f>
        <v>0</v>
      </c>
      <c r="U356" s="21">
        <f ca="1">'2RA SEGURIDAD PUBLICA'!S37</f>
        <v>0</v>
      </c>
    </row>
    <row r="357" spans="1:21" ht="39.75" customHeight="1">
      <c r="A357" s="53"/>
      <c r="B357" s="53"/>
      <c r="C357" s="7" t="s">
        <v>422</v>
      </c>
      <c r="D357" s="16">
        <v>136</v>
      </c>
      <c r="E357" s="16" t="s">
        <v>423</v>
      </c>
      <c r="F357" s="17" t="str">
        <f ca="1">'1RA SEGURIDAD PUBLICA'!D38</f>
        <v>ASCENDENTE</v>
      </c>
      <c r="G357" s="17" t="str">
        <f ca="1">'1RA SEGURIDAD PUBLICA'!E38</f>
        <v>BITACORA OPERATIVA</v>
      </c>
      <c r="H357" s="18">
        <f ca="1">'2RA SEGURIDAD PUBLICA'!F38</f>
        <v>0</v>
      </c>
      <c r="I357" s="19">
        <f ca="1">'2RA SEGURIDAD PUBLICA'!G38</f>
        <v>0</v>
      </c>
      <c r="J357" s="19">
        <f ca="1">'2RA SEGURIDAD PUBLICA'!H38</f>
        <v>0</v>
      </c>
      <c r="K357" s="19">
        <f ca="1">'2RA SEGURIDAD PUBLICA'!I38</f>
        <v>0</v>
      </c>
      <c r="L357" s="19">
        <f ca="1">'2RA SEGURIDAD PUBLICA'!J38</f>
        <v>0</v>
      </c>
      <c r="M357" s="19">
        <f ca="1">'2RA SEGURIDAD PUBLICA'!K38</f>
        <v>0</v>
      </c>
      <c r="N357" s="19">
        <f ca="1">'2RA SEGURIDAD PUBLICA'!L38</f>
        <v>0</v>
      </c>
      <c r="O357" s="19">
        <f ca="1">'2RA SEGURIDAD PUBLICA'!M38</f>
        <v>0</v>
      </c>
      <c r="P357" s="19">
        <f ca="1">'2RA SEGURIDAD PUBLICA'!N38</f>
        <v>0</v>
      </c>
      <c r="Q357" s="19">
        <f ca="1">'2RA SEGURIDAD PUBLICA'!O38</f>
        <v>0</v>
      </c>
      <c r="R357" s="19">
        <f ca="1">'2RA SEGURIDAD PUBLICA'!P38</f>
        <v>0</v>
      </c>
      <c r="S357" s="19">
        <f ca="1">'2RA SEGURIDAD PUBLICA'!Q38</f>
        <v>0</v>
      </c>
      <c r="T357" s="19">
        <f ca="1">'2RA SEGURIDAD PUBLICA'!R38</f>
        <v>0</v>
      </c>
      <c r="U357" s="21">
        <f ca="1">'2RA SEGURIDAD PUBLICA'!S38</f>
        <v>0</v>
      </c>
    </row>
    <row r="358" spans="1:21" ht="39.75" customHeight="1">
      <c r="A358" s="51"/>
      <c r="B358" s="51"/>
      <c r="C358" s="7" t="s">
        <v>424</v>
      </c>
      <c r="D358" s="16">
        <v>61</v>
      </c>
      <c r="E358" s="16" t="s">
        <v>425</v>
      </c>
      <c r="F358" s="17" t="str">
        <f ca="1">'1RA SEGURIDAD PUBLICA'!D39</f>
        <v>ASCENDENTE</v>
      </c>
      <c r="G358" s="17" t="str">
        <f ca="1">'1RA SEGURIDAD PUBLICA'!E39</f>
        <v>BITACORA OPERATIVA</v>
      </c>
      <c r="H358" s="18">
        <f ca="1">'2RA SEGURIDAD PUBLICA'!F39</f>
        <v>0</v>
      </c>
      <c r="I358" s="19">
        <f ca="1">'2RA SEGURIDAD PUBLICA'!G39</f>
        <v>0</v>
      </c>
      <c r="J358" s="19">
        <f ca="1">'2RA SEGURIDAD PUBLICA'!H39</f>
        <v>0</v>
      </c>
      <c r="K358" s="19">
        <f ca="1">'2RA SEGURIDAD PUBLICA'!I39</f>
        <v>0</v>
      </c>
      <c r="L358" s="19">
        <f ca="1">'2RA SEGURIDAD PUBLICA'!J39</f>
        <v>0</v>
      </c>
      <c r="M358" s="19">
        <f ca="1">'2RA SEGURIDAD PUBLICA'!K39</f>
        <v>0</v>
      </c>
      <c r="N358" s="19">
        <f ca="1">'2RA SEGURIDAD PUBLICA'!L39</f>
        <v>0</v>
      </c>
      <c r="O358" s="19">
        <f ca="1">'2RA SEGURIDAD PUBLICA'!M39</f>
        <v>0</v>
      </c>
      <c r="P358" s="19">
        <f ca="1">'2RA SEGURIDAD PUBLICA'!N39</f>
        <v>0</v>
      </c>
      <c r="Q358" s="19">
        <f ca="1">'2RA SEGURIDAD PUBLICA'!O39</f>
        <v>0</v>
      </c>
      <c r="R358" s="19">
        <f ca="1">'2RA SEGURIDAD PUBLICA'!P39</f>
        <v>0</v>
      </c>
      <c r="S358" s="19">
        <f ca="1">'2RA SEGURIDAD PUBLICA'!Q39</f>
        <v>0</v>
      </c>
      <c r="T358" s="19">
        <f ca="1">'2RA SEGURIDAD PUBLICA'!R39</f>
        <v>0</v>
      </c>
      <c r="U358" s="21">
        <f ca="1">'2RA SEGURIDAD PUBLICA'!S39</f>
        <v>0</v>
      </c>
    </row>
    <row r="359" spans="1:21" ht="39.75" customHeight="1">
      <c r="A359" s="52" t="s">
        <v>426</v>
      </c>
      <c r="B359" s="52" t="s">
        <v>427</v>
      </c>
      <c r="C359" s="12" t="s">
        <v>428</v>
      </c>
      <c r="D359" s="16">
        <v>22440</v>
      </c>
      <c r="E359" s="16" t="s">
        <v>429</v>
      </c>
      <c r="F359" s="16" t="s">
        <v>286</v>
      </c>
      <c r="G359" s="16" t="s">
        <v>505</v>
      </c>
      <c r="H359" s="18">
        <f ca="1">'2RA GESTION DE LA CIUDAD'!F2</f>
        <v>0</v>
      </c>
      <c r="I359" s="19">
        <f ca="1">'2RA GESTION DE LA CIUDAD'!G2</f>
        <v>0</v>
      </c>
      <c r="J359" s="19">
        <f ca="1">'2RA GESTION DE LA CIUDAD'!H2</f>
        <v>0</v>
      </c>
      <c r="K359" s="19">
        <f ca="1">'2RA GESTION DE LA CIUDAD'!I2</f>
        <v>0</v>
      </c>
      <c r="L359" s="19">
        <f ca="1">'2RA GESTION DE LA CIUDAD'!J2</f>
        <v>0</v>
      </c>
      <c r="M359" s="19">
        <f ca="1">'2RA GESTION DE LA CIUDAD'!K2</f>
        <v>0</v>
      </c>
      <c r="N359" s="19">
        <f ca="1">'2RA GESTION DE LA CIUDAD'!L2</f>
        <v>0</v>
      </c>
      <c r="O359" s="19">
        <f ca="1">'2RA GESTION DE LA CIUDAD'!M2</f>
        <v>0</v>
      </c>
      <c r="P359" s="19">
        <f ca="1">'2RA GESTION DE LA CIUDAD'!N2</f>
        <v>0</v>
      </c>
      <c r="Q359" s="19">
        <f ca="1">'2RA GESTION DE LA CIUDAD'!O2</f>
        <v>0</v>
      </c>
      <c r="R359" s="19">
        <f ca="1">'2RA GESTION DE LA CIUDAD'!P2</f>
        <v>0</v>
      </c>
      <c r="S359" s="19">
        <f ca="1">'2RA GESTION DE LA CIUDAD'!Q2</f>
        <v>0</v>
      </c>
      <c r="T359" s="19">
        <f ca="1">'2RA GESTION DE LA CIUDAD'!R2</f>
        <v>0</v>
      </c>
      <c r="U359" s="21">
        <f ca="1">'2RA GESTION DE LA CIUDAD'!S2</f>
        <v>0</v>
      </c>
    </row>
    <row r="360" spans="1:21" ht="39.75" customHeight="1">
      <c r="A360" s="53"/>
      <c r="B360" s="53"/>
      <c r="C360" s="12" t="s">
        <v>430</v>
      </c>
      <c r="D360" s="16">
        <v>2579</v>
      </c>
      <c r="E360" s="16" t="s">
        <v>431</v>
      </c>
      <c r="F360" s="16" t="s">
        <v>286</v>
      </c>
      <c r="G360" s="16" t="s">
        <v>287</v>
      </c>
      <c r="H360" s="18">
        <f ca="1">'2RA GESTION DE LA CIUDAD'!F3</f>
        <v>0</v>
      </c>
      <c r="I360" s="19">
        <f ca="1">'2RA GESTION DE LA CIUDAD'!G3</f>
        <v>0</v>
      </c>
      <c r="J360" s="19">
        <f ca="1">'2RA GESTION DE LA CIUDAD'!H3</f>
        <v>0</v>
      </c>
      <c r="K360" s="19">
        <f ca="1">'2RA GESTION DE LA CIUDAD'!I3</f>
        <v>0</v>
      </c>
      <c r="L360" s="19">
        <f ca="1">'2RA GESTION DE LA CIUDAD'!J3</f>
        <v>0</v>
      </c>
      <c r="M360" s="19">
        <f ca="1">'2RA GESTION DE LA CIUDAD'!K3</f>
        <v>0</v>
      </c>
      <c r="N360" s="19">
        <f ca="1">'2RA GESTION DE LA CIUDAD'!L3</f>
        <v>0</v>
      </c>
      <c r="O360" s="19">
        <f ca="1">'2RA GESTION DE LA CIUDAD'!M3</f>
        <v>0</v>
      </c>
      <c r="P360" s="19">
        <f ca="1">'2RA GESTION DE LA CIUDAD'!N3</f>
        <v>0</v>
      </c>
      <c r="Q360" s="19">
        <f ca="1">'2RA GESTION DE LA CIUDAD'!O3</f>
        <v>0</v>
      </c>
      <c r="R360" s="19">
        <f ca="1">'2RA GESTION DE LA CIUDAD'!P3</f>
        <v>0</v>
      </c>
      <c r="S360" s="19">
        <f ca="1">'2RA GESTION DE LA CIUDAD'!Q3</f>
        <v>0</v>
      </c>
      <c r="T360" s="19">
        <f ca="1">'2RA GESTION DE LA CIUDAD'!R3</f>
        <v>0</v>
      </c>
      <c r="U360" s="21">
        <f ca="1">'2RA GESTION DE LA CIUDAD'!S3</f>
        <v>0</v>
      </c>
    </row>
    <row r="361" spans="1:21" ht="39.75" customHeight="1">
      <c r="A361" s="53"/>
      <c r="B361" s="51"/>
      <c r="C361" s="12" t="s">
        <v>432</v>
      </c>
      <c r="D361" s="16">
        <v>72</v>
      </c>
      <c r="E361" s="16" t="s">
        <v>433</v>
      </c>
      <c r="F361" s="16" t="s">
        <v>286</v>
      </c>
      <c r="G361" s="16" t="s">
        <v>287</v>
      </c>
      <c r="H361" s="18">
        <f ca="1">'2RA GESTION DE LA CIUDAD'!F4</f>
        <v>0</v>
      </c>
      <c r="I361" s="19">
        <f ca="1">'2RA GESTION DE LA CIUDAD'!G4</f>
        <v>0</v>
      </c>
      <c r="J361" s="19">
        <f ca="1">'2RA GESTION DE LA CIUDAD'!H4</f>
        <v>0</v>
      </c>
      <c r="K361" s="19">
        <f ca="1">'2RA GESTION DE LA CIUDAD'!I4</f>
        <v>0</v>
      </c>
      <c r="L361" s="19">
        <f ca="1">'2RA GESTION DE LA CIUDAD'!J4</f>
        <v>0</v>
      </c>
      <c r="M361" s="19">
        <f ca="1">'2RA GESTION DE LA CIUDAD'!K4</f>
        <v>0</v>
      </c>
      <c r="N361" s="19">
        <f ca="1">'2RA GESTION DE LA CIUDAD'!L4</f>
        <v>0</v>
      </c>
      <c r="O361" s="19">
        <f ca="1">'2RA GESTION DE LA CIUDAD'!M4</f>
        <v>0</v>
      </c>
      <c r="P361" s="19">
        <f ca="1">'2RA GESTION DE LA CIUDAD'!N4</f>
        <v>0</v>
      </c>
      <c r="Q361" s="19">
        <f ca="1">'2RA GESTION DE LA CIUDAD'!O4</f>
        <v>0</v>
      </c>
      <c r="R361" s="19">
        <f ca="1">'2RA GESTION DE LA CIUDAD'!P4</f>
        <v>0</v>
      </c>
      <c r="S361" s="19">
        <f ca="1">'2RA GESTION DE LA CIUDAD'!Q4</f>
        <v>0</v>
      </c>
      <c r="T361" s="19">
        <f ca="1">'2RA GESTION DE LA CIUDAD'!R4</f>
        <v>0</v>
      </c>
      <c r="U361" s="21">
        <f ca="1">'2RA GESTION DE LA CIUDAD'!S4</f>
        <v>0</v>
      </c>
    </row>
    <row r="362" spans="1:21" ht="39.75" customHeight="1">
      <c r="A362" s="53"/>
      <c r="B362" s="52" t="s">
        <v>434</v>
      </c>
      <c r="C362" s="12" t="s">
        <v>435</v>
      </c>
      <c r="D362" s="16">
        <v>119</v>
      </c>
      <c r="E362" s="16" t="s">
        <v>435</v>
      </c>
      <c r="F362" s="16" t="s">
        <v>286</v>
      </c>
      <c r="G362" s="16" t="s">
        <v>292</v>
      </c>
      <c r="H362" s="18">
        <f ca="1">'2RA GESTION DE LA CIUDAD'!F5</f>
        <v>0</v>
      </c>
      <c r="I362" s="19">
        <f ca="1">'2RA GESTION DE LA CIUDAD'!G5</f>
        <v>0</v>
      </c>
      <c r="J362" s="19">
        <f ca="1">'2RA GESTION DE LA CIUDAD'!H5</f>
        <v>0</v>
      </c>
      <c r="K362" s="19">
        <f ca="1">'2RA GESTION DE LA CIUDAD'!I5</f>
        <v>0</v>
      </c>
      <c r="L362" s="19">
        <f ca="1">'2RA GESTION DE LA CIUDAD'!J5</f>
        <v>0</v>
      </c>
      <c r="M362" s="19">
        <f ca="1">'2RA GESTION DE LA CIUDAD'!K5</f>
        <v>0</v>
      </c>
      <c r="N362" s="19">
        <f ca="1">'2RA GESTION DE LA CIUDAD'!L5</f>
        <v>0</v>
      </c>
      <c r="O362" s="19">
        <f ca="1">'2RA GESTION DE LA CIUDAD'!M5</f>
        <v>0</v>
      </c>
      <c r="P362" s="19">
        <f ca="1">'2RA GESTION DE LA CIUDAD'!N5</f>
        <v>0</v>
      </c>
      <c r="Q362" s="19">
        <f ca="1">'2RA GESTION DE LA CIUDAD'!O5</f>
        <v>0</v>
      </c>
      <c r="R362" s="19">
        <f ca="1">'2RA GESTION DE LA CIUDAD'!P5</f>
        <v>0</v>
      </c>
      <c r="S362" s="19">
        <f ca="1">'2RA GESTION DE LA CIUDAD'!Q5</f>
        <v>0</v>
      </c>
      <c r="T362" s="19">
        <f ca="1">'2RA GESTION DE LA CIUDAD'!R5</f>
        <v>0</v>
      </c>
      <c r="U362" s="21">
        <f ca="1">'2RA GESTION DE LA CIUDAD'!S5</f>
        <v>0</v>
      </c>
    </row>
    <row r="363" spans="1:21" ht="39.75" customHeight="1">
      <c r="A363" s="53"/>
      <c r="B363" s="53"/>
      <c r="C363" s="12" t="s">
        <v>436</v>
      </c>
      <c r="D363" s="16">
        <v>75</v>
      </c>
      <c r="E363" s="16" t="s">
        <v>436</v>
      </c>
      <c r="F363" s="16" t="s">
        <v>286</v>
      </c>
      <c r="G363" s="16" t="s">
        <v>292</v>
      </c>
      <c r="H363" s="18">
        <f ca="1">'2RA GESTION DE LA CIUDAD'!F6</f>
        <v>0</v>
      </c>
      <c r="I363" s="19">
        <f ca="1">'2RA GESTION DE LA CIUDAD'!G6</f>
        <v>0</v>
      </c>
      <c r="J363" s="19">
        <f ca="1">'2RA GESTION DE LA CIUDAD'!H6</f>
        <v>0</v>
      </c>
      <c r="K363" s="19">
        <f ca="1">'2RA GESTION DE LA CIUDAD'!I6</f>
        <v>0</v>
      </c>
      <c r="L363" s="19">
        <f ca="1">'2RA GESTION DE LA CIUDAD'!J6</f>
        <v>0</v>
      </c>
      <c r="M363" s="19">
        <f ca="1">'2RA GESTION DE LA CIUDAD'!K6</f>
        <v>0</v>
      </c>
      <c r="N363" s="19">
        <f ca="1">'2RA GESTION DE LA CIUDAD'!L6</f>
        <v>0</v>
      </c>
      <c r="O363" s="19">
        <f ca="1">'2RA GESTION DE LA CIUDAD'!M6</f>
        <v>0</v>
      </c>
      <c r="P363" s="19">
        <f ca="1">'2RA GESTION DE LA CIUDAD'!N6</f>
        <v>0</v>
      </c>
      <c r="Q363" s="19">
        <f ca="1">'2RA GESTION DE LA CIUDAD'!O6</f>
        <v>0</v>
      </c>
      <c r="R363" s="19">
        <f ca="1">'2RA GESTION DE LA CIUDAD'!P6</f>
        <v>0</v>
      </c>
      <c r="S363" s="19">
        <f ca="1">'2RA GESTION DE LA CIUDAD'!Q6</f>
        <v>0</v>
      </c>
      <c r="T363" s="19">
        <f ca="1">'2RA GESTION DE LA CIUDAD'!R6</f>
        <v>0</v>
      </c>
      <c r="U363" s="21">
        <f ca="1">'2RA GESTION DE LA CIUDAD'!S6</f>
        <v>0</v>
      </c>
    </row>
    <row r="364" spans="1:21" ht="39.75" customHeight="1">
      <c r="A364" s="53"/>
      <c r="B364" s="51"/>
      <c r="C364" s="12" t="s">
        <v>437</v>
      </c>
      <c r="D364" s="16">
        <v>6</v>
      </c>
      <c r="E364" s="16" t="s">
        <v>438</v>
      </c>
      <c r="F364" s="16" t="s">
        <v>286</v>
      </c>
      <c r="G364" s="16" t="s">
        <v>292</v>
      </c>
      <c r="H364" s="18">
        <f ca="1">'2RA GESTION DE LA CIUDAD'!F7</f>
        <v>0</v>
      </c>
      <c r="I364" s="19">
        <f ca="1">'2RA GESTION DE LA CIUDAD'!G7</f>
        <v>0</v>
      </c>
      <c r="J364" s="19">
        <f ca="1">'2RA GESTION DE LA CIUDAD'!H7</f>
        <v>0</v>
      </c>
      <c r="K364" s="19">
        <f ca="1">'2RA GESTION DE LA CIUDAD'!I7</f>
        <v>0</v>
      </c>
      <c r="L364" s="19">
        <f ca="1">'2RA GESTION DE LA CIUDAD'!J7</f>
        <v>0</v>
      </c>
      <c r="M364" s="19">
        <f ca="1">'2RA GESTION DE LA CIUDAD'!K7</f>
        <v>0</v>
      </c>
      <c r="N364" s="19">
        <f ca="1">'2RA GESTION DE LA CIUDAD'!L7</f>
        <v>0</v>
      </c>
      <c r="O364" s="19">
        <f ca="1">'2RA GESTION DE LA CIUDAD'!M7</f>
        <v>0</v>
      </c>
      <c r="P364" s="19">
        <f ca="1">'2RA GESTION DE LA CIUDAD'!N7</f>
        <v>0</v>
      </c>
      <c r="Q364" s="19">
        <f ca="1">'2RA GESTION DE LA CIUDAD'!O7</f>
        <v>0</v>
      </c>
      <c r="R364" s="19">
        <f ca="1">'2RA GESTION DE LA CIUDAD'!P7</f>
        <v>0</v>
      </c>
      <c r="S364" s="19">
        <f ca="1">'2RA GESTION DE LA CIUDAD'!Q7</f>
        <v>0</v>
      </c>
      <c r="T364" s="19">
        <f ca="1">'2RA GESTION DE LA CIUDAD'!R7</f>
        <v>0</v>
      </c>
      <c r="U364" s="21">
        <f ca="1">'2RA GESTION DE LA CIUDAD'!S7</f>
        <v>0</v>
      </c>
    </row>
    <row r="365" spans="1:21" ht="39.75" customHeight="1">
      <c r="A365" s="53"/>
      <c r="B365" s="52" t="s">
        <v>439</v>
      </c>
      <c r="C365" s="12" t="s">
        <v>440</v>
      </c>
      <c r="D365" s="16">
        <v>152</v>
      </c>
      <c r="E365" s="16" t="s">
        <v>440</v>
      </c>
      <c r="F365" s="16" t="s">
        <v>286</v>
      </c>
      <c r="G365" s="16" t="s">
        <v>292</v>
      </c>
      <c r="H365" s="18">
        <f ca="1">'2RA GESTION DE LA CIUDAD'!F8</f>
        <v>0</v>
      </c>
      <c r="I365" s="19">
        <f ca="1">'2RA GESTION DE LA CIUDAD'!G8</f>
        <v>0</v>
      </c>
      <c r="J365" s="19">
        <f ca="1">'2RA GESTION DE LA CIUDAD'!H8</f>
        <v>0</v>
      </c>
      <c r="K365" s="19">
        <f ca="1">'2RA GESTION DE LA CIUDAD'!I8</f>
        <v>0</v>
      </c>
      <c r="L365" s="19">
        <f ca="1">'2RA GESTION DE LA CIUDAD'!J8</f>
        <v>0</v>
      </c>
      <c r="M365" s="19">
        <f ca="1">'2RA GESTION DE LA CIUDAD'!K8</f>
        <v>0</v>
      </c>
      <c r="N365" s="19">
        <f ca="1">'2RA GESTION DE LA CIUDAD'!L8</f>
        <v>0</v>
      </c>
      <c r="O365" s="19">
        <f ca="1">'2RA GESTION DE LA CIUDAD'!M8</f>
        <v>0</v>
      </c>
      <c r="P365" s="19">
        <f ca="1">'2RA GESTION DE LA CIUDAD'!N8</f>
        <v>0</v>
      </c>
      <c r="Q365" s="19">
        <f ca="1">'2RA GESTION DE LA CIUDAD'!O8</f>
        <v>0</v>
      </c>
      <c r="R365" s="19">
        <f ca="1">'2RA GESTION DE LA CIUDAD'!P8</f>
        <v>0</v>
      </c>
      <c r="S365" s="19">
        <f ca="1">'2RA GESTION DE LA CIUDAD'!Q8</f>
        <v>0</v>
      </c>
      <c r="T365" s="19">
        <f ca="1">'2RA GESTION DE LA CIUDAD'!R8</f>
        <v>0</v>
      </c>
      <c r="U365" s="21">
        <f ca="1">'2RA GESTION DE LA CIUDAD'!S8</f>
        <v>0</v>
      </c>
    </row>
    <row r="366" spans="1:21" ht="39.75" customHeight="1">
      <c r="A366" s="53"/>
      <c r="B366" s="53"/>
      <c r="C366" s="12" t="s">
        <v>441</v>
      </c>
      <c r="D366" s="16">
        <v>195</v>
      </c>
      <c r="E366" s="16" t="s">
        <v>441</v>
      </c>
      <c r="F366" s="16" t="s">
        <v>286</v>
      </c>
      <c r="G366" s="16" t="s">
        <v>292</v>
      </c>
      <c r="H366" s="18">
        <f ca="1">'2RA GESTION DE LA CIUDAD'!F9</f>
        <v>0</v>
      </c>
      <c r="I366" s="19">
        <f ca="1">'2RA GESTION DE LA CIUDAD'!G9</f>
        <v>0</v>
      </c>
      <c r="J366" s="19">
        <f ca="1">'2RA GESTION DE LA CIUDAD'!H9</f>
        <v>0</v>
      </c>
      <c r="K366" s="19">
        <f ca="1">'2RA GESTION DE LA CIUDAD'!I9</f>
        <v>0</v>
      </c>
      <c r="L366" s="19">
        <f ca="1">'2RA GESTION DE LA CIUDAD'!J9</f>
        <v>0</v>
      </c>
      <c r="M366" s="19">
        <f ca="1">'2RA GESTION DE LA CIUDAD'!K9</f>
        <v>0</v>
      </c>
      <c r="N366" s="19">
        <f ca="1">'2RA GESTION DE LA CIUDAD'!L9</f>
        <v>0</v>
      </c>
      <c r="O366" s="19">
        <f ca="1">'2RA GESTION DE LA CIUDAD'!M9</f>
        <v>0</v>
      </c>
      <c r="P366" s="19">
        <f ca="1">'2RA GESTION DE LA CIUDAD'!N9</f>
        <v>0</v>
      </c>
      <c r="Q366" s="19">
        <f ca="1">'2RA GESTION DE LA CIUDAD'!O9</f>
        <v>0</v>
      </c>
      <c r="R366" s="19">
        <f ca="1">'2RA GESTION DE LA CIUDAD'!P9</f>
        <v>0</v>
      </c>
      <c r="S366" s="19">
        <f ca="1">'2RA GESTION DE LA CIUDAD'!Q9</f>
        <v>0</v>
      </c>
      <c r="T366" s="19">
        <f ca="1">'2RA GESTION DE LA CIUDAD'!R9</f>
        <v>0</v>
      </c>
      <c r="U366" s="21">
        <f ca="1">'2RA GESTION DE LA CIUDAD'!S9</f>
        <v>0</v>
      </c>
    </row>
    <row r="367" spans="1:21" ht="39.75" customHeight="1">
      <c r="A367" s="53"/>
      <c r="B367" s="53"/>
      <c r="C367" s="12" t="s">
        <v>442</v>
      </c>
      <c r="D367" s="16">
        <v>247</v>
      </c>
      <c r="E367" s="16" t="s">
        <v>442</v>
      </c>
      <c r="F367" s="16" t="s">
        <v>286</v>
      </c>
      <c r="G367" s="16" t="s">
        <v>292</v>
      </c>
      <c r="H367" s="18">
        <f ca="1">'2RA GESTION DE LA CIUDAD'!F10</f>
        <v>0</v>
      </c>
      <c r="I367" s="19">
        <f ca="1">'2RA GESTION DE LA CIUDAD'!G10</f>
        <v>0</v>
      </c>
      <c r="J367" s="19">
        <f ca="1">'2RA GESTION DE LA CIUDAD'!H10</f>
        <v>0</v>
      </c>
      <c r="K367" s="19">
        <f ca="1">'2RA GESTION DE LA CIUDAD'!I10</f>
        <v>0</v>
      </c>
      <c r="L367" s="19">
        <f ca="1">'2RA GESTION DE LA CIUDAD'!J10</f>
        <v>0</v>
      </c>
      <c r="M367" s="19">
        <f ca="1">'2RA GESTION DE LA CIUDAD'!K10</f>
        <v>0</v>
      </c>
      <c r="N367" s="19">
        <f ca="1">'2RA GESTION DE LA CIUDAD'!L10</f>
        <v>0</v>
      </c>
      <c r="O367" s="19">
        <f ca="1">'2RA GESTION DE LA CIUDAD'!M10</f>
        <v>0</v>
      </c>
      <c r="P367" s="19">
        <f ca="1">'2RA GESTION DE LA CIUDAD'!N10</f>
        <v>0</v>
      </c>
      <c r="Q367" s="19">
        <f ca="1">'2RA GESTION DE LA CIUDAD'!O10</f>
        <v>0</v>
      </c>
      <c r="R367" s="19">
        <f ca="1">'2RA GESTION DE LA CIUDAD'!P10</f>
        <v>0</v>
      </c>
      <c r="S367" s="19">
        <f ca="1">'2RA GESTION DE LA CIUDAD'!Q10</f>
        <v>0</v>
      </c>
      <c r="T367" s="19">
        <f ca="1">'2RA GESTION DE LA CIUDAD'!R10</f>
        <v>0</v>
      </c>
      <c r="U367" s="21">
        <f ca="1">'2RA GESTION DE LA CIUDAD'!S10</f>
        <v>0</v>
      </c>
    </row>
    <row r="368" spans="1:21" ht="39.75" customHeight="1">
      <c r="A368" s="53"/>
      <c r="B368" s="51"/>
      <c r="C368" s="12" t="s">
        <v>443</v>
      </c>
      <c r="D368" s="16">
        <v>127</v>
      </c>
      <c r="E368" s="16" t="s">
        <v>443</v>
      </c>
      <c r="F368" s="16" t="s">
        <v>286</v>
      </c>
      <c r="G368" s="16" t="s">
        <v>292</v>
      </c>
      <c r="H368" s="18">
        <f ca="1">'2RA GESTION DE LA CIUDAD'!F11</f>
        <v>0</v>
      </c>
      <c r="I368" s="19">
        <f ca="1">'2RA GESTION DE LA CIUDAD'!G11</f>
        <v>0</v>
      </c>
      <c r="J368" s="19">
        <f ca="1">'2RA GESTION DE LA CIUDAD'!H11</f>
        <v>0</v>
      </c>
      <c r="K368" s="19">
        <f ca="1">'2RA GESTION DE LA CIUDAD'!I11</f>
        <v>0</v>
      </c>
      <c r="L368" s="19">
        <f ca="1">'2RA GESTION DE LA CIUDAD'!J11</f>
        <v>0</v>
      </c>
      <c r="M368" s="19">
        <f ca="1">'2RA GESTION DE LA CIUDAD'!K11</f>
        <v>0</v>
      </c>
      <c r="N368" s="19">
        <f ca="1">'2RA GESTION DE LA CIUDAD'!L11</f>
        <v>0</v>
      </c>
      <c r="O368" s="19">
        <f ca="1">'2RA GESTION DE LA CIUDAD'!M11</f>
        <v>0</v>
      </c>
      <c r="P368" s="19">
        <f ca="1">'2RA GESTION DE LA CIUDAD'!N11</f>
        <v>0</v>
      </c>
      <c r="Q368" s="19">
        <f ca="1">'2RA GESTION DE LA CIUDAD'!O11</f>
        <v>0</v>
      </c>
      <c r="R368" s="19">
        <f ca="1">'2RA GESTION DE LA CIUDAD'!P11</f>
        <v>0</v>
      </c>
      <c r="S368" s="19">
        <f ca="1">'2RA GESTION DE LA CIUDAD'!Q11</f>
        <v>0</v>
      </c>
      <c r="T368" s="19">
        <f ca="1">'2RA GESTION DE LA CIUDAD'!R11</f>
        <v>0</v>
      </c>
      <c r="U368" s="21">
        <f ca="1">'2RA GESTION DE LA CIUDAD'!S11</f>
        <v>0</v>
      </c>
    </row>
    <row r="369" spans="1:21" ht="39.75" customHeight="1">
      <c r="A369" s="53"/>
      <c r="B369" s="52" t="s">
        <v>444</v>
      </c>
      <c r="C369" s="12" t="s">
        <v>445</v>
      </c>
      <c r="D369" s="16">
        <v>232</v>
      </c>
      <c r="E369" s="16" t="s">
        <v>446</v>
      </c>
      <c r="F369" s="16" t="s">
        <v>286</v>
      </c>
      <c r="G369" s="16" t="s">
        <v>292</v>
      </c>
      <c r="H369" s="18">
        <f ca="1">'2RA GESTION DE LA CIUDAD'!F12</f>
        <v>0</v>
      </c>
      <c r="I369" s="19">
        <f ca="1">'2RA GESTION DE LA CIUDAD'!G12</f>
        <v>0</v>
      </c>
      <c r="J369" s="19">
        <f ca="1">'2RA GESTION DE LA CIUDAD'!H12</f>
        <v>0</v>
      </c>
      <c r="K369" s="19">
        <f ca="1">'2RA GESTION DE LA CIUDAD'!I12</f>
        <v>0</v>
      </c>
      <c r="L369" s="19">
        <f ca="1">'2RA GESTION DE LA CIUDAD'!J12</f>
        <v>0</v>
      </c>
      <c r="M369" s="19">
        <f ca="1">'2RA GESTION DE LA CIUDAD'!K12</f>
        <v>0</v>
      </c>
      <c r="N369" s="19">
        <f ca="1">'2RA GESTION DE LA CIUDAD'!L12</f>
        <v>0</v>
      </c>
      <c r="O369" s="19">
        <f ca="1">'2RA GESTION DE LA CIUDAD'!M12</f>
        <v>0</v>
      </c>
      <c r="P369" s="19">
        <f ca="1">'2RA GESTION DE LA CIUDAD'!N12</f>
        <v>0</v>
      </c>
      <c r="Q369" s="19">
        <f ca="1">'2RA GESTION DE LA CIUDAD'!O12</f>
        <v>0</v>
      </c>
      <c r="R369" s="19">
        <f ca="1">'2RA GESTION DE LA CIUDAD'!P12</f>
        <v>0</v>
      </c>
      <c r="S369" s="19">
        <f ca="1">'2RA GESTION DE LA CIUDAD'!Q12</f>
        <v>0</v>
      </c>
      <c r="T369" s="19">
        <f ca="1">'2RA GESTION DE LA CIUDAD'!R12</f>
        <v>0</v>
      </c>
      <c r="U369" s="21">
        <f ca="1">'2RA GESTION DE LA CIUDAD'!S12</f>
        <v>0</v>
      </c>
    </row>
    <row r="370" spans="1:21" ht="39.75" customHeight="1">
      <c r="A370" s="53"/>
      <c r="B370" s="53"/>
      <c r="C370" s="12" t="s">
        <v>447</v>
      </c>
      <c r="D370" s="16">
        <v>87</v>
      </c>
      <c r="E370" s="16" t="s">
        <v>448</v>
      </c>
      <c r="F370" s="16" t="s">
        <v>286</v>
      </c>
      <c r="G370" s="16" t="s">
        <v>292</v>
      </c>
      <c r="H370" s="18">
        <f ca="1">'2RA GESTION DE LA CIUDAD'!F13</f>
        <v>0</v>
      </c>
      <c r="I370" s="19">
        <f ca="1">'2RA GESTION DE LA CIUDAD'!G13</f>
        <v>0</v>
      </c>
      <c r="J370" s="19">
        <f ca="1">'2RA GESTION DE LA CIUDAD'!H13</f>
        <v>0</v>
      </c>
      <c r="K370" s="19">
        <f ca="1">'2RA GESTION DE LA CIUDAD'!I13</f>
        <v>0</v>
      </c>
      <c r="L370" s="19">
        <f ca="1">'2RA GESTION DE LA CIUDAD'!J13</f>
        <v>0</v>
      </c>
      <c r="M370" s="19">
        <f ca="1">'2RA GESTION DE LA CIUDAD'!K13</f>
        <v>0</v>
      </c>
      <c r="N370" s="19">
        <f ca="1">'2RA GESTION DE LA CIUDAD'!L13</f>
        <v>0</v>
      </c>
      <c r="O370" s="19">
        <f ca="1">'2RA GESTION DE LA CIUDAD'!M13</f>
        <v>0</v>
      </c>
      <c r="P370" s="19">
        <f ca="1">'2RA GESTION DE LA CIUDAD'!N13</f>
        <v>0</v>
      </c>
      <c r="Q370" s="19">
        <f ca="1">'2RA GESTION DE LA CIUDAD'!O13</f>
        <v>0</v>
      </c>
      <c r="R370" s="19">
        <f ca="1">'2RA GESTION DE LA CIUDAD'!P13</f>
        <v>0</v>
      </c>
      <c r="S370" s="19">
        <f ca="1">'2RA GESTION DE LA CIUDAD'!Q13</f>
        <v>0</v>
      </c>
      <c r="T370" s="19">
        <f ca="1">'2RA GESTION DE LA CIUDAD'!R13</f>
        <v>0</v>
      </c>
      <c r="U370" s="21">
        <f ca="1">'2RA GESTION DE LA CIUDAD'!S13</f>
        <v>0</v>
      </c>
    </row>
    <row r="371" spans="1:21" ht="39.75" customHeight="1">
      <c r="A371" s="53"/>
      <c r="B371" s="53"/>
      <c r="C371" s="12" t="s">
        <v>449</v>
      </c>
      <c r="D371" s="16">
        <v>47</v>
      </c>
      <c r="E371" s="16" t="s">
        <v>450</v>
      </c>
      <c r="F371" s="16" t="s">
        <v>286</v>
      </c>
      <c r="G371" s="16" t="s">
        <v>292</v>
      </c>
      <c r="H371" s="18">
        <f ca="1">'2RA GESTION DE LA CIUDAD'!F14</f>
        <v>0</v>
      </c>
      <c r="I371" s="19">
        <f ca="1">'2RA GESTION DE LA CIUDAD'!G14</f>
        <v>0</v>
      </c>
      <c r="J371" s="19">
        <f ca="1">'2RA GESTION DE LA CIUDAD'!H14</f>
        <v>0</v>
      </c>
      <c r="K371" s="19">
        <f ca="1">'2RA GESTION DE LA CIUDAD'!I14</f>
        <v>0</v>
      </c>
      <c r="L371" s="19">
        <f ca="1">'2RA GESTION DE LA CIUDAD'!J14</f>
        <v>0</v>
      </c>
      <c r="M371" s="19">
        <f ca="1">'2RA GESTION DE LA CIUDAD'!K14</f>
        <v>0</v>
      </c>
      <c r="N371" s="19">
        <f ca="1">'2RA GESTION DE LA CIUDAD'!L14</f>
        <v>0</v>
      </c>
      <c r="O371" s="19">
        <f ca="1">'2RA GESTION DE LA CIUDAD'!M14</f>
        <v>0</v>
      </c>
      <c r="P371" s="19">
        <f ca="1">'2RA GESTION DE LA CIUDAD'!N14</f>
        <v>0</v>
      </c>
      <c r="Q371" s="19">
        <f ca="1">'2RA GESTION DE LA CIUDAD'!O14</f>
        <v>0</v>
      </c>
      <c r="R371" s="19">
        <f ca="1">'2RA GESTION DE LA CIUDAD'!P14</f>
        <v>0</v>
      </c>
      <c r="S371" s="19">
        <f ca="1">'2RA GESTION DE LA CIUDAD'!Q14</f>
        <v>0</v>
      </c>
      <c r="T371" s="19">
        <f ca="1">'2RA GESTION DE LA CIUDAD'!R14</f>
        <v>0</v>
      </c>
      <c r="U371" s="21">
        <f ca="1">'2RA GESTION DE LA CIUDAD'!S14</f>
        <v>0</v>
      </c>
    </row>
    <row r="372" spans="1:21" ht="39.75" customHeight="1">
      <c r="A372" s="53"/>
      <c r="B372" s="53"/>
      <c r="C372" s="12" t="s">
        <v>451</v>
      </c>
      <c r="D372" s="16">
        <v>554</v>
      </c>
      <c r="E372" s="16" t="s">
        <v>452</v>
      </c>
      <c r="F372" s="16" t="s">
        <v>286</v>
      </c>
      <c r="G372" s="16" t="s">
        <v>292</v>
      </c>
      <c r="H372" s="18">
        <f ca="1">'2RA GESTION DE LA CIUDAD'!F15</f>
        <v>0</v>
      </c>
      <c r="I372" s="19">
        <f ca="1">'2RA GESTION DE LA CIUDAD'!G15</f>
        <v>0</v>
      </c>
      <c r="J372" s="19">
        <f ca="1">'2RA GESTION DE LA CIUDAD'!H15</f>
        <v>0</v>
      </c>
      <c r="K372" s="19">
        <f ca="1">'2RA GESTION DE LA CIUDAD'!I15</f>
        <v>0</v>
      </c>
      <c r="L372" s="19">
        <f ca="1">'2RA GESTION DE LA CIUDAD'!J15</f>
        <v>0</v>
      </c>
      <c r="M372" s="19">
        <f ca="1">'2RA GESTION DE LA CIUDAD'!K15</f>
        <v>0</v>
      </c>
      <c r="N372" s="19">
        <f ca="1">'2RA GESTION DE LA CIUDAD'!L15</f>
        <v>0</v>
      </c>
      <c r="O372" s="19">
        <f ca="1">'2RA GESTION DE LA CIUDAD'!M15</f>
        <v>0</v>
      </c>
      <c r="P372" s="19">
        <f ca="1">'2RA GESTION DE LA CIUDAD'!N15</f>
        <v>0</v>
      </c>
      <c r="Q372" s="19">
        <f ca="1">'2RA GESTION DE LA CIUDAD'!O15</f>
        <v>0</v>
      </c>
      <c r="R372" s="19">
        <f ca="1">'2RA GESTION DE LA CIUDAD'!P15</f>
        <v>0</v>
      </c>
      <c r="S372" s="19">
        <f ca="1">'2RA GESTION DE LA CIUDAD'!Q15</f>
        <v>0</v>
      </c>
      <c r="T372" s="19">
        <f ca="1">'2RA GESTION DE LA CIUDAD'!R15</f>
        <v>0</v>
      </c>
      <c r="U372" s="21">
        <f ca="1">'2RA GESTION DE LA CIUDAD'!S15</f>
        <v>0</v>
      </c>
    </row>
    <row r="373" spans="1:21" ht="39.75" customHeight="1">
      <c r="A373" s="53"/>
      <c r="B373" s="53"/>
      <c r="C373" s="12" t="s">
        <v>453</v>
      </c>
      <c r="D373" s="16">
        <v>233</v>
      </c>
      <c r="E373" s="16" t="s">
        <v>454</v>
      </c>
      <c r="F373" s="16" t="s">
        <v>286</v>
      </c>
      <c r="G373" s="16" t="s">
        <v>292</v>
      </c>
      <c r="H373" s="18">
        <f ca="1">'2RA GESTION DE LA CIUDAD'!F16</f>
        <v>0</v>
      </c>
      <c r="I373" s="19">
        <f ca="1">'2RA GESTION DE LA CIUDAD'!G16</f>
        <v>0</v>
      </c>
      <c r="J373" s="19">
        <f ca="1">'2RA GESTION DE LA CIUDAD'!H16</f>
        <v>0</v>
      </c>
      <c r="K373" s="19">
        <f ca="1">'2RA GESTION DE LA CIUDAD'!I16</f>
        <v>0</v>
      </c>
      <c r="L373" s="19">
        <f ca="1">'2RA GESTION DE LA CIUDAD'!J16</f>
        <v>0</v>
      </c>
      <c r="M373" s="19">
        <f ca="1">'2RA GESTION DE LA CIUDAD'!K16</f>
        <v>0</v>
      </c>
      <c r="N373" s="19">
        <f ca="1">'2RA GESTION DE LA CIUDAD'!L16</f>
        <v>0</v>
      </c>
      <c r="O373" s="19">
        <f ca="1">'2RA GESTION DE LA CIUDAD'!M16</f>
        <v>0</v>
      </c>
      <c r="P373" s="19">
        <f ca="1">'2RA GESTION DE LA CIUDAD'!N16</f>
        <v>0</v>
      </c>
      <c r="Q373" s="19">
        <f ca="1">'2RA GESTION DE LA CIUDAD'!O16</f>
        <v>0</v>
      </c>
      <c r="R373" s="19">
        <f ca="1">'2RA GESTION DE LA CIUDAD'!P16</f>
        <v>0</v>
      </c>
      <c r="S373" s="19">
        <f ca="1">'2RA GESTION DE LA CIUDAD'!Q16</f>
        <v>0</v>
      </c>
      <c r="T373" s="19">
        <f ca="1">'2RA GESTION DE LA CIUDAD'!R16</f>
        <v>0</v>
      </c>
      <c r="U373" s="21">
        <f ca="1">'2RA GESTION DE LA CIUDAD'!S16</f>
        <v>0</v>
      </c>
    </row>
    <row r="374" spans="1:21" ht="39.75" customHeight="1">
      <c r="A374" s="53"/>
      <c r="B374" s="53"/>
      <c r="C374" s="12" t="s">
        <v>455</v>
      </c>
      <c r="D374" s="16">
        <v>0</v>
      </c>
      <c r="E374" s="16" t="s">
        <v>456</v>
      </c>
      <c r="F374" s="16" t="s">
        <v>286</v>
      </c>
      <c r="G374" s="16" t="s">
        <v>292</v>
      </c>
      <c r="H374" s="18">
        <f ca="1">'2RA GESTION DE LA CIUDAD'!F17</f>
        <v>0</v>
      </c>
      <c r="I374" s="19">
        <f ca="1">'2RA GESTION DE LA CIUDAD'!G17</f>
        <v>0</v>
      </c>
      <c r="J374" s="19">
        <f ca="1">'2RA GESTION DE LA CIUDAD'!H17</f>
        <v>0</v>
      </c>
      <c r="K374" s="19">
        <f ca="1">'2RA GESTION DE LA CIUDAD'!I17</f>
        <v>0</v>
      </c>
      <c r="L374" s="19">
        <f ca="1">'2RA GESTION DE LA CIUDAD'!J17</f>
        <v>0</v>
      </c>
      <c r="M374" s="19">
        <f ca="1">'2RA GESTION DE LA CIUDAD'!K17</f>
        <v>0</v>
      </c>
      <c r="N374" s="19">
        <f ca="1">'2RA GESTION DE LA CIUDAD'!L17</f>
        <v>0</v>
      </c>
      <c r="O374" s="19">
        <f ca="1">'2RA GESTION DE LA CIUDAD'!M17</f>
        <v>0</v>
      </c>
      <c r="P374" s="19">
        <f ca="1">'2RA GESTION DE LA CIUDAD'!N17</f>
        <v>0</v>
      </c>
      <c r="Q374" s="19">
        <f ca="1">'2RA GESTION DE LA CIUDAD'!O17</f>
        <v>0</v>
      </c>
      <c r="R374" s="19">
        <f ca="1">'2RA GESTION DE LA CIUDAD'!P17</f>
        <v>0</v>
      </c>
      <c r="S374" s="19">
        <f ca="1">'2RA GESTION DE LA CIUDAD'!Q17</f>
        <v>0</v>
      </c>
      <c r="T374" s="19">
        <f ca="1">'2RA GESTION DE LA CIUDAD'!R17</f>
        <v>0</v>
      </c>
      <c r="U374" s="21">
        <f ca="1">'2RA GESTION DE LA CIUDAD'!S17</f>
        <v>0</v>
      </c>
    </row>
    <row r="375" spans="1:21" ht="39.75" customHeight="1">
      <c r="A375" s="53"/>
      <c r="B375" s="53"/>
      <c r="C375" s="12" t="s">
        <v>457</v>
      </c>
      <c r="D375" s="16">
        <v>6</v>
      </c>
      <c r="E375" s="16" t="s">
        <v>458</v>
      </c>
      <c r="F375" s="16" t="s">
        <v>289</v>
      </c>
      <c r="G375" s="16" t="s">
        <v>292</v>
      </c>
      <c r="H375" s="18">
        <f ca="1">'2RA GESTION DE LA CIUDAD'!F18</f>
        <v>0</v>
      </c>
      <c r="I375" s="19">
        <f ca="1">'2RA GESTION DE LA CIUDAD'!G18</f>
        <v>0</v>
      </c>
      <c r="J375" s="19">
        <f ca="1">'2RA GESTION DE LA CIUDAD'!H18</f>
        <v>0</v>
      </c>
      <c r="K375" s="19">
        <f ca="1">'2RA GESTION DE LA CIUDAD'!I18</f>
        <v>0</v>
      </c>
      <c r="L375" s="19">
        <f ca="1">'2RA GESTION DE LA CIUDAD'!J18</f>
        <v>0</v>
      </c>
      <c r="M375" s="19">
        <f ca="1">'2RA GESTION DE LA CIUDAD'!K18</f>
        <v>0</v>
      </c>
      <c r="N375" s="19">
        <f ca="1">'2RA GESTION DE LA CIUDAD'!L18</f>
        <v>0</v>
      </c>
      <c r="O375" s="19">
        <f ca="1">'2RA GESTION DE LA CIUDAD'!M18</f>
        <v>0</v>
      </c>
      <c r="P375" s="19">
        <f ca="1">'2RA GESTION DE LA CIUDAD'!N18</f>
        <v>0</v>
      </c>
      <c r="Q375" s="19">
        <f ca="1">'2RA GESTION DE LA CIUDAD'!O18</f>
        <v>0</v>
      </c>
      <c r="R375" s="19">
        <f ca="1">'2RA GESTION DE LA CIUDAD'!P18</f>
        <v>0</v>
      </c>
      <c r="S375" s="19">
        <f ca="1">'2RA GESTION DE LA CIUDAD'!Q18</f>
        <v>0</v>
      </c>
      <c r="T375" s="19">
        <f ca="1">'2RA GESTION DE LA CIUDAD'!R18</f>
        <v>0</v>
      </c>
      <c r="U375" s="21">
        <f ca="1">'2RA GESTION DE LA CIUDAD'!S18</f>
        <v>0</v>
      </c>
    </row>
    <row r="376" spans="1:21" ht="39.75" customHeight="1">
      <c r="A376" s="51"/>
      <c r="B376" s="51"/>
      <c r="C376" s="12" t="s">
        <v>459</v>
      </c>
      <c r="D376" s="16">
        <v>1</v>
      </c>
      <c r="E376" s="16" t="s">
        <v>460</v>
      </c>
      <c r="F376" s="16" t="s">
        <v>289</v>
      </c>
      <c r="G376" s="16" t="s">
        <v>292</v>
      </c>
      <c r="H376" s="18">
        <f ca="1">'2RA GESTION DE LA CIUDAD'!F19</f>
        <v>0</v>
      </c>
      <c r="I376" s="19">
        <f ca="1">'2RA GESTION DE LA CIUDAD'!G19</f>
        <v>0</v>
      </c>
      <c r="J376" s="19">
        <f ca="1">'2RA GESTION DE LA CIUDAD'!H19</f>
        <v>0</v>
      </c>
      <c r="K376" s="19">
        <f ca="1">'2RA GESTION DE LA CIUDAD'!I19</f>
        <v>0</v>
      </c>
      <c r="L376" s="19">
        <f ca="1">'2RA GESTION DE LA CIUDAD'!J19</f>
        <v>0</v>
      </c>
      <c r="M376" s="19">
        <f ca="1">'2RA GESTION DE LA CIUDAD'!K19</f>
        <v>0</v>
      </c>
      <c r="N376" s="19">
        <f ca="1">'2RA GESTION DE LA CIUDAD'!L19</f>
        <v>0</v>
      </c>
      <c r="O376" s="19">
        <f ca="1">'2RA GESTION DE LA CIUDAD'!M19</f>
        <v>0</v>
      </c>
      <c r="P376" s="19">
        <f ca="1">'2RA GESTION DE LA CIUDAD'!N19</f>
        <v>0</v>
      </c>
      <c r="Q376" s="19">
        <f ca="1">'2RA GESTION DE LA CIUDAD'!O19</f>
        <v>0</v>
      </c>
      <c r="R376" s="19">
        <f ca="1">'2RA GESTION DE LA CIUDAD'!P19</f>
        <v>0</v>
      </c>
      <c r="S376" s="19">
        <f ca="1">'2RA GESTION DE LA CIUDAD'!Q19</f>
        <v>0</v>
      </c>
      <c r="T376" s="19">
        <f ca="1">'2RA GESTION DE LA CIUDAD'!R19</f>
        <v>0</v>
      </c>
      <c r="U376" s="21">
        <f ca="1">'2RA GESTION DE LA CIUDAD'!S19</f>
        <v>0</v>
      </c>
    </row>
    <row r="377" spans="1:21" ht="39.75" customHeight="1">
      <c r="A377" s="54" t="s">
        <v>461</v>
      </c>
      <c r="B377" s="50" t="s">
        <v>462</v>
      </c>
      <c r="C377" s="27" t="s">
        <v>463</v>
      </c>
      <c r="D377" s="16">
        <v>1</v>
      </c>
      <c r="E377" s="17" t="str">
        <f ca="1">'1RA PROTECCION CIVIL'!C2</f>
        <v>INCENDIOS</v>
      </c>
      <c r="F377" s="17" t="str">
        <f ca="1">'1RA PROTECCION CIVIL'!D2</f>
        <v>DECENDENTE</v>
      </c>
      <c r="G377" s="16" t="s">
        <v>287</v>
      </c>
      <c r="H377" s="18">
        <f ca="1">'2RA PROTECCION CIVIL'!F2</f>
        <v>0</v>
      </c>
      <c r="I377" s="19">
        <f ca="1">'2RA PROTECCION CIVIL'!G2</f>
        <v>0</v>
      </c>
      <c r="J377" s="19">
        <f ca="1">'2RA PROTECCION CIVIL'!H2</f>
        <v>0</v>
      </c>
      <c r="K377" s="19">
        <f ca="1">'2RA PROTECCION CIVIL'!I2</f>
        <v>0</v>
      </c>
      <c r="L377" s="19">
        <f ca="1">'2RA PROTECCION CIVIL'!J2</f>
        <v>0</v>
      </c>
      <c r="M377" s="19">
        <f ca="1">'2RA PROTECCION CIVIL'!K2</f>
        <v>0</v>
      </c>
      <c r="N377" s="19">
        <f ca="1">'2RA PROTECCION CIVIL'!L2</f>
        <v>0</v>
      </c>
      <c r="O377" s="19">
        <f ca="1">'2RA PROTECCION CIVIL'!M2</f>
        <v>0</v>
      </c>
      <c r="P377" s="19">
        <f ca="1">'2RA PROTECCION CIVIL'!N2</f>
        <v>0</v>
      </c>
      <c r="Q377" s="19">
        <f ca="1">'2RA PROTECCION CIVIL'!O2</f>
        <v>0</v>
      </c>
      <c r="R377" s="19">
        <f ca="1">'2RA PROTECCION CIVIL'!P2</f>
        <v>0</v>
      </c>
      <c r="S377" s="19">
        <f ca="1">'2RA PROTECCION CIVIL'!Q2</f>
        <v>0</v>
      </c>
      <c r="T377" s="19">
        <f ca="1">'2RA PROTECCION CIVIL'!R2</f>
        <v>0</v>
      </c>
      <c r="U377" s="21">
        <f ca="1">'2RA PROTECCION CIVIL'!S2</f>
        <v>0</v>
      </c>
    </row>
    <row r="378" spans="1:21" ht="39.75" customHeight="1">
      <c r="A378" s="53"/>
      <c r="B378" s="53"/>
      <c r="C378" s="27" t="s">
        <v>464</v>
      </c>
      <c r="D378" s="16">
        <v>1</v>
      </c>
      <c r="E378" s="17" t="str">
        <f ca="1">'1RA PROTECCION CIVIL'!C3</f>
        <v>INCENDIOS</v>
      </c>
      <c r="F378" s="17" t="str">
        <f ca="1">'1RA PROTECCION CIVIL'!D3</f>
        <v>DECENDENTE</v>
      </c>
      <c r="G378" s="17" t="str">
        <f ca="1">'1RA PROTECCION CIVIL'!E3</f>
        <v>BITACORA DE ATENCION</v>
      </c>
      <c r="H378" s="18">
        <f ca="1">'2RA PROTECCION CIVIL'!F3</f>
        <v>0</v>
      </c>
      <c r="I378" s="19">
        <f ca="1">'2RA PROTECCION CIVIL'!G3</f>
        <v>0</v>
      </c>
      <c r="J378" s="19">
        <f ca="1">'2RA PROTECCION CIVIL'!H3</f>
        <v>0</v>
      </c>
      <c r="K378" s="19">
        <f ca="1">'2RA PROTECCION CIVIL'!I3</f>
        <v>0</v>
      </c>
      <c r="L378" s="19">
        <f ca="1">'2RA PROTECCION CIVIL'!J3</f>
        <v>0</v>
      </c>
      <c r="M378" s="19">
        <f ca="1">'2RA PROTECCION CIVIL'!K3</f>
        <v>0</v>
      </c>
      <c r="N378" s="19">
        <f ca="1">'2RA PROTECCION CIVIL'!L3</f>
        <v>0</v>
      </c>
      <c r="O378" s="19">
        <f ca="1">'2RA PROTECCION CIVIL'!M3</f>
        <v>0</v>
      </c>
      <c r="P378" s="19">
        <f ca="1">'2RA PROTECCION CIVIL'!N3</f>
        <v>0</v>
      </c>
      <c r="Q378" s="19">
        <f ca="1">'2RA PROTECCION CIVIL'!O3</f>
        <v>0</v>
      </c>
      <c r="R378" s="19">
        <f ca="1">'2RA PROTECCION CIVIL'!P3</f>
        <v>0</v>
      </c>
      <c r="S378" s="19">
        <f ca="1">'2RA PROTECCION CIVIL'!Q3</f>
        <v>0</v>
      </c>
      <c r="T378" s="19">
        <f ca="1">'2RA PROTECCION CIVIL'!R3</f>
        <v>0</v>
      </c>
      <c r="U378" s="21">
        <f ca="1">'2RA PROTECCION CIVIL'!S3</f>
        <v>0</v>
      </c>
    </row>
    <row r="379" spans="1:21" ht="39.75" customHeight="1">
      <c r="A379" s="53"/>
      <c r="B379" s="53"/>
      <c r="C379" s="27" t="s">
        <v>465</v>
      </c>
      <c r="D379" s="16">
        <v>1</v>
      </c>
      <c r="E379" s="17" t="str">
        <f ca="1">'1RA PROTECCION CIVIL'!C4</f>
        <v>INCENDIOS</v>
      </c>
      <c r="F379" s="17" t="str">
        <f ca="1">'1RA PROTECCION CIVIL'!D4</f>
        <v>DECENDENTE</v>
      </c>
      <c r="G379" s="17" t="str">
        <f ca="1">'1RA PROTECCION CIVIL'!E4</f>
        <v>BITACORA DE ATENCION</v>
      </c>
      <c r="H379" s="18">
        <f ca="1">'2RA PROTECCION CIVIL'!F4</f>
        <v>0</v>
      </c>
      <c r="I379" s="19">
        <f ca="1">'2RA PROTECCION CIVIL'!G4</f>
        <v>0</v>
      </c>
      <c r="J379" s="19">
        <f ca="1">'2RA PROTECCION CIVIL'!H4</f>
        <v>0</v>
      </c>
      <c r="K379" s="19">
        <f ca="1">'2RA PROTECCION CIVIL'!I4</f>
        <v>0</v>
      </c>
      <c r="L379" s="19">
        <f ca="1">'2RA PROTECCION CIVIL'!J4</f>
        <v>0</v>
      </c>
      <c r="M379" s="19">
        <f ca="1">'2RA PROTECCION CIVIL'!K4</f>
        <v>0</v>
      </c>
      <c r="N379" s="19">
        <f ca="1">'2RA PROTECCION CIVIL'!L4</f>
        <v>0</v>
      </c>
      <c r="O379" s="19">
        <f ca="1">'2RA PROTECCION CIVIL'!M4</f>
        <v>0</v>
      </c>
      <c r="P379" s="19">
        <f ca="1">'2RA PROTECCION CIVIL'!N4</f>
        <v>0</v>
      </c>
      <c r="Q379" s="19">
        <f ca="1">'2RA PROTECCION CIVIL'!O4</f>
        <v>0</v>
      </c>
      <c r="R379" s="19">
        <f ca="1">'2RA PROTECCION CIVIL'!P4</f>
        <v>0</v>
      </c>
      <c r="S379" s="19">
        <f ca="1">'2RA PROTECCION CIVIL'!Q4</f>
        <v>0</v>
      </c>
      <c r="T379" s="19">
        <f ca="1">'2RA PROTECCION CIVIL'!R4</f>
        <v>0</v>
      </c>
      <c r="U379" s="21">
        <f ca="1">'2RA PROTECCION CIVIL'!S4</f>
        <v>0</v>
      </c>
    </row>
    <row r="380" spans="1:21" ht="39.75" customHeight="1">
      <c r="A380" s="53"/>
      <c r="B380" s="53"/>
      <c r="C380" s="27" t="s">
        <v>466</v>
      </c>
      <c r="D380" s="16">
        <v>3</v>
      </c>
      <c r="E380" s="17" t="str">
        <f ca="1">'1RA PROTECCION CIVIL'!C5</f>
        <v>INCENDIOS</v>
      </c>
      <c r="F380" s="17" t="str">
        <f ca="1">'1RA PROTECCION CIVIL'!D5</f>
        <v>DECENDENTE</v>
      </c>
      <c r="G380" s="17" t="str">
        <f ca="1">'1RA PROTECCION CIVIL'!E5</f>
        <v>BITACORA OPERATIVA</v>
      </c>
      <c r="H380" s="18">
        <f ca="1">'2RA PROTECCION CIVIL'!F5</f>
        <v>0</v>
      </c>
      <c r="I380" s="19">
        <f ca="1">'2RA PROTECCION CIVIL'!G5</f>
        <v>0</v>
      </c>
      <c r="J380" s="19">
        <f ca="1">'2RA PROTECCION CIVIL'!H5</f>
        <v>0</v>
      </c>
      <c r="K380" s="19">
        <f ca="1">'2RA PROTECCION CIVIL'!I5</f>
        <v>0</v>
      </c>
      <c r="L380" s="19">
        <f ca="1">'2RA PROTECCION CIVIL'!J5</f>
        <v>0</v>
      </c>
      <c r="M380" s="19">
        <f ca="1">'2RA PROTECCION CIVIL'!K5</f>
        <v>0</v>
      </c>
      <c r="N380" s="19">
        <f ca="1">'2RA PROTECCION CIVIL'!L5</f>
        <v>0</v>
      </c>
      <c r="O380" s="19">
        <f ca="1">'2RA PROTECCION CIVIL'!M5</f>
        <v>0</v>
      </c>
      <c r="P380" s="19">
        <f ca="1">'2RA PROTECCION CIVIL'!N5</f>
        <v>0</v>
      </c>
      <c r="Q380" s="19">
        <f ca="1">'2RA PROTECCION CIVIL'!O5</f>
        <v>0</v>
      </c>
      <c r="R380" s="19">
        <f ca="1">'2RA PROTECCION CIVIL'!P5</f>
        <v>0</v>
      </c>
      <c r="S380" s="19">
        <f ca="1">'2RA PROTECCION CIVIL'!Q5</f>
        <v>0</v>
      </c>
      <c r="T380" s="19">
        <f ca="1">'2RA PROTECCION CIVIL'!R5</f>
        <v>0</v>
      </c>
      <c r="U380" s="21">
        <f ca="1">'2RA PROTECCION CIVIL'!S5</f>
        <v>0</v>
      </c>
    </row>
    <row r="381" spans="1:21" ht="39.75" customHeight="1">
      <c r="A381" s="53"/>
      <c r="B381" s="53"/>
      <c r="C381" s="27" t="s">
        <v>467</v>
      </c>
      <c r="D381" s="16">
        <v>1</v>
      </c>
      <c r="E381" s="17" t="str">
        <f ca="1">'1RA PROTECCION CIVIL'!C6</f>
        <v>INCENDIOS</v>
      </c>
      <c r="F381" s="17" t="str">
        <f ca="1">'1RA PROTECCION CIVIL'!D6</f>
        <v>DECENDENTE</v>
      </c>
      <c r="G381" s="17" t="str">
        <f ca="1">'1RA PROTECCION CIVIL'!E6</f>
        <v>BITACORA OPERATIVA</v>
      </c>
      <c r="H381" s="18">
        <f ca="1">'2RA PROTECCION CIVIL'!F6</f>
        <v>0</v>
      </c>
      <c r="I381" s="19">
        <f ca="1">'2RA PROTECCION CIVIL'!G6</f>
        <v>0</v>
      </c>
      <c r="J381" s="19">
        <f ca="1">'2RA PROTECCION CIVIL'!H6</f>
        <v>0</v>
      </c>
      <c r="K381" s="19">
        <f ca="1">'2RA PROTECCION CIVIL'!I6</f>
        <v>0</v>
      </c>
      <c r="L381" s="19">
        <f ca="1">'2RA PROTECCION CIVIL'!J6</f>
        <v>0</v>
      </c>
      <c r="M381" s="19">
        <f ca="1">'2RA PROTECCION CIVIL'!K6</f>
        <v>0</v>
      </c>
      <c r="N381" s="19">
        <f ca="1">'2RA PROTECCION CIVIL'!L6</f>
        <v>0</v>
      </c>
      <c r="O381" s="19">
        <f ca="1">'2RA PROTECCION CIVIL'!M6</f>
        <v>0</v>
      </c>
      <c r="P381" s="19">
        <f ca="1">'2RA PROTECCION CIVIL'!N6</f>
        <v>0</v>
      </c>
      <c r="Q381" s="19">
        <f ca="1">'2RA PROTECCION CIVIL'!O6</f>
        <v>0</v>
      </c>
      <c r="R381" s="19">
        <f ca="1">'2RA PROTECCION CIVIL'!P6</f>
        <v>0</v>
      </c>
      <c r="S381" s="19">
        <f ca="1">'2RA PROTECCION CIVIL'!Q6</f>
        <v>0</v>
      </c>
      <c r="T381" s="19">
        <f ca="1">'2RA PROTECCION CIVIL'!R6</f>
        <v>0</v>
      </c>
      <c r="U381" s="21">
        <f ca="1">'2RA PROTECCION CIVIL'!S6</f>
        <v>0</v>
      </c>
    </row>
    <row r="382" spans="1:21" ht="39.75" customHeight="1">
      <c r="A382" s="53"/>
      <c r="B382" s="53"/>
      <c r="C382" s="27" t="s">
        <v>468</v>
      </c>
      <c r="D382" s="16">
        <v>1</v>
      </c>
      <c r="E382" s="17" t="str">
        <f ca="1">'1RA PROTECCION CIVIL'!C7</f>
        <v>INCENDIO DERIBADO DE CHOQUE VEHICULAR ATENDIDO</v>
      </c>
      <c r="F382" s="17" t="str">
        <f ca="1">'1RA PROTECCION CIVIL'!D7</f>
        <v>DECENDENTE</v>
      </c>
      <c r="G382" s="17" t="str">
        <f ca="1">'1RA PROTECCION CIVIL'!E7</f>
        <v>BITACORA OPERATIVA</v>
      </c>
      <c r="H382" s="18">
        <f ca="1">'2RA PROTECCION CIVIL'!F7</f>
        <v>0</v>
      </c>
      <c r="I382" s="19">
        <f ca="1">'2RA PROTECCION CIVIL'!G7</f>
        <v>0</v>
      </c>
      <c r="J382" s="19">
        <f ca="1">'2RA PROTECCION CIVIL'!H7</f>
        <v>0</v>
      </c>
      <c r="K382" s="19">
        <f ca="1">'2RA PROTECCION CIVIL'!I7</f>
        <v>0</v>
      </c>
      <c r="L382" s="19">
        <f ca="1">'2RA PROTECCION CIVIL'!J7</f>
        <v>0</v>
      </c>
      <c r="M382" s="19">
        <f ca="1">'2RA PROTECCION CIVIL'!K7</f>
        <v>0</v>
      </c>
      <c r="N382" s="19">
        <f ca="1">'2RA PROTECCION CIVIL'!L7</f>
        <v>0</v>
      </c>
      <c r="O382" s="19">
        <f ca="1">'2RA PROTECCION CIVIL'!M7</f>
        <v>0</v>
      </c>
      <c r="P382" s="19">
        <f ca="1">'2RA PROTECCION CIVIL'!N7</f>
        <v>0</v>
      </c>
      <c r="Q382" s="19">
        <f ca="1">'2RA PROTECCION CIVIL'!O7</f>
        <v>0</v>
      </c>
      <c r="R382" s="19">
        <f ca="1">'2RA PROTECCION CIVIL'!P7</f>
        <v>0</v>
      </c>
      <c r="S382" s="19">
        <f ca="1">'2RA PROTECCION CIVIL'!Q7</f>
        <v>0</v>
      </c>
      <c r="T382" s="19">
        <f ca="1">'2RA PROTECCION CIVIL'!R7</f>
        <v>0</v>
      </c>
      <c r="U382" s="21">
        <f ca="1">'2RA PROTECCION CIVIL'!S7</f>
        <v>0</v>
      </c>
    </row>
    <row r="383" spans="1:21" ht="39.75" customHeight="1">
      <c r="A383" s="53"/>
      <c r="B383" s="53"/>
      <c r="C383" s="27" t="s">
        <v>469</v>
      </c>
      <c r="D383" s="16">
        <v>1</v>
      </c>
      <c r="E383" s="17" t="str">
        <f ca="1">'1RA PROTECCION CIVIL'!C8</f>
        <v>INCENDIO ACCIDENTAL ATENDIDO</v>
      </c>
      <c r="F383" s="17" t="str">
        <f ca="1">'1RA PROTECCION CIVIL'!D8</f>
        <v>DECENDENTE</v>
      </c>
      <c r="G383" s="17" t="str">
        <f ca="1">'1RA PROTECCION CIVIL'!E8</f>
        <v>BITACORA OPERATIVA</v>
      </c>
      <c r="H383" s="18">
        <f ca="1">'2RA PROTECCION CIVIL'!F8</f>
        <v>0</v>
      </c>
      <c r="I383" s="19">
        <f ca="1">'2RA PROTECCION CIVIL'!G8</f>
        <v>0</v>
      </c>
      <c r="J383" s="19">
        <f ca="1">'2RA PROTECCION CIVIL'!H8</f>
        <v>0</v>
      </c>
      <c r="K383" s="19">
        <f ca="1">'2RA PROTECCION CIVIL'!I8</f>
        <v>0</v>
      </c>
      <c r="L383" s="19">
        <f ca="1">'2RA PROTECCION CIVIL'!J8</f>
        <v>0</v>
      </c>
      <c r="M383" s="19">
        <f ca="1">'2RA PROTECCION CIVIL'!K8</f>
        <v>0</v>
      </c>
      <c r="N383" s="19">
        <f ca="1">'2RA PROTECCION CIVIL'!L8</f>
        <v>0</v>
      </c>
      <c r="O383" s="19">
        <f ca="1">'2RA PROTECCION CIVIL'!M8</f>
        <v>0</v>
      </c>
      <c r="P383" s="19">
        <f ca="1">'2RA PROTECCION CIVIL'!N8</f>
        <v>0</v>
      </c>
      <c r="Q383" s="19">
        <f ca="1">'2RA PROTECCION CIVIL'!O8</f>
        <v>0</v>
      </c>
      <c r="R383" s="19">
        <f ca="1">'2RA PROTECCION CIVIL'!P8</f>
        <v>0</v>
      </c>
      <c r="S383" s="19">
        <f ca="1">'2RA PROTECCION CIVIL'!Q8</f>
        <v>0</v>
      </c>
      <c r="T383" s="19">
        <f ca="1">'2RA PROTECCION CIVIL'!R8</f>
        <v>0</v>
      </c>
      <c r="U383" s="21">
        <f ca="1">'2RA PROTECCION CIVIL'!S8</f>
        <v>0</v>
      </c>
    </row>
    <row r="384" spans="1:21" ht="39.75" customHeight="1">
      <c r="A384" s="53"/>
      <c r="B384" s="53"/>
      <c r="C384" s="27" t="s">
        <v>470</v>
      </c>
      <c r="D384" s="16">
        <v>1</v>
      </c>
      <c r="E384" s="17" t="str">
        <f ca="1">'1RA PROTECCION CIVIL'!C9</f>
        <v>EXPLOSION ATENDIDA</v>
      </c>
      <c r="F384" s="17" t="str">
        <f ca="1">'1RA PROTECCION CIVIL'!D9</f>
        <v>DECENDENTE</v>
      </c>
      <c r="G384" s="17" t="str">
        <f ca="1">'1RA PROTECCION CIVIL'!E9</f>
        <v>BITACORA OPERATIVA</v>
      </c>
      <c r="H384" s="18">
        <f ca="1">'2RA PROTECCION CIVIL'!F9</f>
        <v>0</v>
      </c>
      <c r="I384" s="19">
        <f ca="1">'2RA PROTECCION CIVIL'!G9</f>
        <v>0</v>
      </c>
      <c r="J384" s="19">
        <f ca="1">'2RA PROTECCION CIVIL'!H9</f>
        <v>0</v>
      </c>
      <c r="K384" s="19">
        <f ca="1">'2RA PROTECCION CIVIL'!I9</f>
        <v>0</v>
      </c>
      <c r="L384" s="19">
        <f ca="1">'2RA PROTECCION CIVIL'!J9</f>
        <v>0</v>
      </c>
      <c r="M384" s="19">
        <f ca="1">'2RA PROTECCION CIVIL'!K9</f>
        <v>0</v>
      </c>
      <c r="N384" s="19">
        <f ca="1">'2RA PROTECCION CIVIL'!L9</f>
        <v>0</v>
      </c>
      <c r="O384" s="19">
        <f ca="1">'2RA PROTECCION CIVIL'!M9</f>
        <v>0</v>
      </c>
      <c r="P384" s="19">
        <f ca="1">'2RA PROTECCION CIVIL'!N9</f>
        <v>0</v>
      </c>
      <c r="Q384" s="19">
        <f ca="1">'2RA PROTECCION CIVIL'!O9</f>
        <v>0</v>
      </c>
      <c r="R384" s="19">
        <f ca="1">'2RA PROTECCION CIVIL'!P9</f>
        <v>0</v>
      </c>
      <c r="S384" s="19">
        <f ca="1">'2RA PROTECCION CIVIL'!Q9</f>
        <v>0</v>
      </c>
      <c r="T384" s="19">
        <f ca="1">'2RA PROTECCION CIVIL'!R9</f>
        <v>0</v>
      </c>
      <c r="U384" s="21">
        <f ca="1">'2RA PROTECCION CIVIL'!S9</f>
        <v>0</v>
      </c>
    </row>
    <row r="385" spans="1:21" ht="39.75" customHeight="1">
      <c r="A385" s="53"/>
      <c r="B385" s="53"/>
      <c r="C385" s="27" t="s">
        <v>471</v>
      </c>
      <c r="D385" s="16">
        <v>1</v>
      </c>
      <c r="E385" s="17" t="str">
        <f ca="1">'1RA PROTECCION CIVIL'!C10</f>
        <v>INCENDIO POR FUEGO DIRECTO ATENDIDO</v>
      </c>
      <c r="F385" s="17" t="str">
        <f ca="1">'1RA PROTECCION CIVIL'!D10</f>
        <v>DECENDENTE</v>
      </c>
      <c r="G385" s="17" t="str">
        <f ca="1">'1RA PROTECCION CIVIL'!E10</f>
        <v>BITACORA OPERATIVA</v>
      </c>
      <c r="H385" s="18">
        <f ca="1">'2RA PROTECCION CIVIL'!F10</f>
        <v>0</v>
      </c>
      <c r="I385" s="19">
        <f ca="1">'2RA PROTECCION CIVIL'!G10</f>
        <v>0</v>
      </c>
      <c r="J385" s="19">
        <f ca="1">'2RA PROTECCION CIVIL'!H10</f>
        <v>0</v>
      </c>
      <c r="K385" s="19">
        <f ca="1">'2RA PROTECCION CIVIL'!I10</f>
        <v>0</v>
      </c>
      <c r="L385" s="19">
        <f ca="1">'2RA PROTECCION CIVIL'!J10</f>
        <v>0</v>
      </c>
      <c r="M385" s="19">
        <f ca="1">'2RA PROTECCION CIVIL'!K10</f>
        <v>0</v>
      </c>
      <c r="N385" s="19">
        <f ca="1">'2RA PROTECCION CIVIL'!L10</f>
        <v>0</v>
      </c>
      <c r="O385" s="19">
        <f ca="1">'2RA PROTECCION CIVIL'!M10</f>
        <v>0</v>
      </c>
      <c r="P385" s="19">
        <f ca="1">'2RA PROTECCION CIVIL'!N10</f>
        <v>0</v>
      </c>
      <c r="Q385" s="19">
        <f ca="1">'2RA PROTECCION CIVIL'!O10</f>
        <v>0</v>
      </c>
      <c r="R385" s="19">
        <f ca="1">'2RA PROTECCION CIVIL'!P10</f>
        <v>0</v>
      </c>
      <c r="S385" s="19">
        <f ca="1">'2RA PROTECCION CIVIL'!Q10</f>
        <v>0</v>
      </c>
      <c r="T385" s="19">
        <f ca="1">'2RA PROTECCION CIVIL'!R10</f>
        <v>0</v>
      </c>
      <c r="U385" s="21">
        <f ca="1">'2RA PROTECCION CIVIL'!S10</f>
        <v>0</v>
      </c>
    </row>
    <row r="386" spans="1:21" ht="39.75" customHeight="1">
      <c r="A386" s="53"/>
      <c r="B386" s="53"/>
      <c r="C386" s="27" t="s">
        <v>472</v>
      </c>
      <c r="D386" s="16">
        <v>23</v>
      </c>
      <c r="E386" s="17" t="str">
        <f ca="1">'1RA PROTECCION CIVIL'!C11</f>
        <v>INCENDIO POR QUEMA DE BASURA ATENDIDO</v>
      </c>
      <c r="F386" s="17" t="str">
        <f ca="1">'1RA PROTECCION CIVIL'!D11</f>
        <v>DECENDENTE</v>
      </c>
      <c r="G386" s="17" t="str">
        <f ca="1">'1RA PROTECCION CIVIL'!E11</f>
        <v>BITACORA OPERATIVA</v>
      </c>
      <c r="H386" s="18">
        <f ca="1">'2RA PROTECCION CIVIL'!F11</f>
        <v>0</v>
      </c>
      <c r="I386" s="19">
        <f ca="1">'2RA PROTECCION CIVIL'!G11</f>
        <v>0</v>
      </c>
      <c r="J386" s="19">
        <f ca="1">'2RA PROTECCION CIVIL'!H11</f>
        <v>0</v>
      </c>
      <c r="K386" s="19">
        <f ca="1">'2RA PROTECCION CIVIL'!I11</f>
        <v>0</v>
      </c>
      <c r="L386" s="19">
        <f ca="1">'2RA PROTECCION CIVIL'!J11</f>
        <v>0</v>
      </c>
      <c r="M386" s="19">
        <f ca="1">'2RA PROTECCION CIVIL'!K11</f>
        <v>0</v>
      </c>
      <c r="N386" s="19">
        <f ca="1">'2RA PROTECCION CIVIL'!L11</f>
        <v>0</v>
      </c>
      <c r="O386" s="19">
        <f ca="1">'2RA PROTECCION CIVIL'!M11</f>
        <v>0</v>
      </c>
      <c r="P386" s="19">
        <f ca="1">'2RA PROTECCION CIVIL'!N11</f>
        <v>0</v>
      </c>
      <c r="Q386" s="19">
        <f ca="1">'2RA PROTECCION CIVIL'!O11</f>
        <v>0</v>
      </c>
      <c r="R386" s="19">
        <f ca="1">'2RA PROTECCION CIVIL'!P11</f>
        <v>0</v>
      </c>
      <c r="S386" s="19">
        <f ca="1">'2RA PROTECCION CIVIL'!Q11</f>
        <v>0</v>
      </c>
      <c r="T386" s="19">
        <f ca="1">'2RA PROTECCION CIVIL'!R11</f>
        <v>0</v>
      </c>
      <c r="U386" s="21">
        <f ca="1">'2RA PROTECCION CIVIL'!S11</f>
        <v>0</v>
      </c>
    </row>
    <row r="387" spans="1:21" ht="39.75" customHeight="1">
      <c r="A387" s="53"/>
      <c r="B387" s="53"/>
      <c r="C387" s="27" t="s">
        <v>473</v>
      </c>
      <c r="D387" s="16">
        <v>1</v>
      </c>
      <c r="E387" s="17" t="str">
        <f ca="1">'1RA PROTECCION CIVIL'!C12</f>
        <v>INCENDIO POR PROPAGACION DE FUEGO ATENDIDO</v>
      </c>
      <c r="F387" s="17" t="str">
        <f ca="1">'1RA PROTECCION CIVIL'!D12</f>
        <v>DECENDENTE</v>
      </c>
      <c r="G387" s="17" t="str">
        <f ca="1">'1RA PROTECCION CIVIL'!E12</f>
        <v>BITACORA OPERATIVA</v>
      </c>
      <c r="H387" s="18">
        <f ca="1">'2RA PROTECCION CIVIL'!F12</f>
        <v>0</v>
      </c>
      <c r="I387" s="19">
        <f ca="1">'2RA PROTECCION CIVIL'!G12</f>
        <v>0</v>
      </c>
      <c r="J387" s="19">
        <f ca="1">'2RA PROTECCION CIVIL'!H12</f>
        <v>0</v>
      </c>
      <c r="K387" s="19">
        <f ca="1">'2RA PROTECCION CIVIL'!I12</f>
        <v>0</v>
      </c>
      <c r="L387" s="19">
        <f ca="1">'2RA PROTECCION CIVIL'!J12</f>
        <v>0</v>
      </c>
      <c r="M387" s="19">
        <f ca="1">'2RA PROTECCION CIVIL'!K12</f>
        <v>0</v>
      </c>
      <c r="N387" s="19">
        <f ca="1">'2RA PROTECCION CIVIL'!L12</f>
        <v>0</v>
      </c>
      <c r="O387" s="19">
        <f ca="1">'2RA PROTECCION CIVIL'!M12</f>
        <v>0</v>
      </c>
      <c r="P387" s="19">
        <f ca="1">'2RA PROTECCION CIVIL'!N12</f>
        <v>0</v>
      </c>
      <c r="Q387" s="19">
        <f ca="1">'2RA PROTECCION CIVIL'!O12</f>
        <v>0</v>
      </c>
      <c r="R387" s="19">
        <f ca="1">'2RA PROTECCION CIVIL'!P12</f>
        <v>0</v>
      </c>
      <c r="S387" s="19">
        <f ca="1">'2RA PROTECCION CIVIL'!Q12</f>
        <v>0</v>
      </c>
      <c r="T387" s="19">
        <f ca="1">'2RA PROTECCION CIVIL'!R12</f>
        <v>0</v>
      </c>
      <c r="U387" s="21">
        <f ca="1">'2RA PROTECCION CIVIL'!S12</f>
        <v>0</v>
      </c>
    </row>
    <row r="388" spans="1:21" ht="39.75" customHeight="1">
      <c r="A388" s="53"/>
      <c r="B388" s="53"/>
      <c r="C388" s="27" t="s">
        <v>474</v>
      </c>
      <c r="D388" s="16">
        <v>19</v>
      </c>
      <c r="E388" s="17" t="str">
        <f ca="1">'1RA PROTECCION CIVIL'!C13</f>
        <v>INCENDIO POR MALA INSTALACION ELECTRICA ATENDIDA</v>
      </c>
      <c r="F388" s="17" t="str">
        <f ca="1">'1RA PROTECCION CIVIL'!D13</f>
        <v>DECENDENTE</v>
      </c>
      <c r="G388" s="17" t="str">
        <f ca="1">'1RA PROTECCION CIVIL'!E13</f>
        <v>BITACORA OPERATIVA</v>
      </c>
      <c r="H388" s="18">
        <f ca="1">'2RA PROTECCION CIVIL'!F13</f>
        <v>0</v>
      </c>
      <c r="I388" s="19">
        <f ca="1">'2RA PROTECCION CIVIL'!G13</f>
        <v>0</v>
      </c>
      <c r="J388" s="19">
        <f ca="1">'2RA PROTECCION CIVIL'!H13</f>
        <v>0</v>
      </c>
      <c r="K388" s="19">
        <f ca="1">'2RA PROTECCION CIVIL'!I13</f>
        <v>0</v>
      </c>
      <c r="L388" s="19">
        <f ca="1">'2RA PROTECCION CIVIL'!J13</f>
        <v>0</v>
      </c>
      <c r="M388" s="19">
        <f ca="1">'2RA PROTECCION CIVIL'!K13</f>
        <v>0</v>
      </c>
      <c r="N388" s="19">
        <f ca="1">'2RA PROTECCION CIVIL'!L13</f>
        <v>0</v>
      </c>
      <c r="O388" s="19">
        <f ca="1">'2RA PROTECCION CIVIL'!M13</f>
        <v>0</v>
      </c>
      <c r="P388" s="19">
        <f ca="1">'2RA PROTECCION CIVIL'!N13</f>
        <v>0</v>
      </c>
      <c r="Q388" s="19">
        <f ca="1">'2RA PROTECCION CIVIL'!O13</f>
        <v>0</v>
      </c>
      <c r="R388" s="19">
        <f ca="1">'2RA PROTECCION CIVIL'!P13</f>
        <v>0</v>
      </c>
      <c r="S388" s="19">
        <f ca="1">'2RA PROTECCION CIVIL'!Q13</f>
        <v>0</v>
      </c>
      <c r="T388" s="19">
        <f ca="1">'2RA PROTECCION CIVIL'!R13</f>
        <v>0</v>
      </c>
      <c r="U388" s="21">
        <f ca="1">'2RA PROTECCION CIVIL'!S13</f>
        <v>0</v>
      </c>
    </row>
    <row r="389" spans="1:21" ht="39.75" customHeight="1">
      <c r="A389" s="53"/>
      <c r="B389" s="53"/>
      <c r="C389" s="27" t="s">
        <v>475</v>
      </c>
      <c r="D389" s="16">
        <v>1</v>
      </c>
      <c r="E389" s="17" t="str">
        <f ca="1">'1RA PROTECCION CIVIL'!C14</f>
        <v>INCENDIO POR FALTA DE MANTENIMIENTO ATENDIDO</v>
      </c>
      <c r="F389" s="17" t="str">
        <f ca="1">'1RA PROTECCION CIVIL'!D14</f>
        <v>DECENDENTE</v>
      </c>
      <c r="G389" s="17" t="str">
        <f ca="1">'1RA PROTECCION CIVIL'!E14</f>
        <v>BITACORA OPERATIVA</v>
      </c>
      <c r="H389" s="18">
        <f ca="1">'2RA PROTECCION CIVIL'!F14</f>
        <v>0</v>
      </c>
      <c r="I389" s="19">
        <f ca="1">'2RA PROTECCION CIVIL'!G14</f>
        <v>0</v>
      </c>
      <c r="J389" s="19">
        <f ca="1">'2RA PROTECCION CIVIL'!H14</f>
        <v>0</v>
      </c>
      <c r="K389" s="19">
        <f ca="1">'2RA PROTECCION CIVIL'!I14</f>
        <v>0</v>
      </c>
      <c r="L389" s="19">
        <f ca="1">'2RA PROTECCION CIVIL'!J14</f>
        <v>0</v>
      </c>
      <c r="M389" s="19">
        <f ca="1">'2RA PROTECCION CIVIL'!K14</f>
        <v>0</v>
      </c>
      <c r="N389" s="19">
        <f ca="1">'2RA PROTECCION CIVIL'!L14</f>
        <v>0</v>
      </c>
      <c r="O389" s="19">
        <f ca="1">'2RA PROTECCION CIVIL'!M14</f>
        <v>0</v>
      </c>
      <c r="P389" s="19">
        <f ca="1">'2RA PROTECCION CIVIL'!N14</f>
        <v>0</v>
      </c>
      <c r="Q389" s="19">
        <f ca="1">'2RA PROTECCION CIVIL'!O14</f>
        <v>0</v>
      </c>
      <c r="R389" s="19">
        <f ca="1">'2RA PROTECCION CIVIL'!P14</f>
        <v>0</v>
      </c>
      <c r="S389" s="19">
        <f ca="1">'2RA PROTECCION CIVIL'!Q14</f>
        <v>0</v>
      </c>
      <c r="T389" s="19">
        <f ca="1">'2RA PROTECCION CIVIL'!R14</f>
        <v>0</v>
      </c>
      <c r="U389" s="21">
        <f ca="1">'2RA PROTECCION CIVIL'!S14</f>
        <v>0</v>
      </c>
    </row>
    <row r="390" spans="1:21" ht="39.75" customHeight="1">
      <c r="A390" s="53"/>
      <c r="B390" s="53"/>
      <c r="C390" s="27" t="s">
        <v>476</v>
      </c>
      <c r="D390" s="16">
        <v>1</v>
      </c>
      <c r="E390" s="17" t="str">
        <f ca="1">'1RA PROTECCION CIVIL'!C15</f>
        <v>INCENDIO POR REIGNICION ATENDIDO</v>
      </c>
      <c r="F390" s="17" t="str">
        <f ca="1">'1RA PROTECCION CIVIL'!D15</f>
        <v>DECENDENTE</v>
      </c>
      <c r="G390" s="17" t="str">
        <f ca="1">'1RA PROTECCION CIVIL'!E15</f>
        <v>BITACORA OPERATIVA</v>
      </c>
      <c r="H390" s="18">
        <f ca="1">'2RA PROTECCION CIVIL'!F15</f>
        <v>0</v>
      </c>
      <c r="I390" s="19">
        <f ca="1">'2RA PROTECCION CIVIL'!G15</f>
        <v>0</v>
      </c>
      <c r="J390" s="19">
        <f ca="1">'2RA PROTECCION CIVIL'!H15</f>
        <v>0</v>
      </c>
      <c r="K390" s="19">
        <f ca="1">'2RA PROTECCION CIVIL'!I15</f>
        <v>0</v>
      </c>
      <c r="L390" s="19">
        <f ca="1">'2RA PROTECCION CIVIL'!J15</f>
        <v>0</v>
      </c>
      <c r="M390" s="19">
        <f ca="1">'2RA PROTECCION CIVIL'!K15</f>
        <v>0</v>
      </c>
      <c r="N390" s="19">
        <f ca="1">'2RA PROTECCION CIVIL'!L15</f>
        <v>0</v>
      </c>
      <c r="O390" s="19">
        <f ca="1">'2RA PROTECCION CIVIL'!M15</f>
        <v>0</v>
      </c>
      <c r="P390" s="19">
        <f ca="1">'2RA PROTECCION CIVIL'!N15</f>
        <v>0</v>
      </c>
      <c r="Q390" s="19">
        <f ca="1">'2RA PROTECCION CIVIL'!O15</f>
        <v>0</v>
      </c>
      <c r="R390" s="19">
        <f ca="1">'2RA PROTECCION CIVIL'!P15</f>
        <v>0</v>
      </c>
      <c r="S390" s="19">
        <f ca="1">'2RA PROTECCION CIVIL'!Q15</f>
        <v>0</v>
      </c>
      <c r="T390" s="19">
        <f ca="1">'2RA PROTECCION CIVIL'!R15</f>
        <v>0</v>
      </c>
      <c r="U390" s="21">
        <f ca="1">'2RA PROTECCION CIVIL'!S15</f>
        <v>0</v>
      </c>
    </row>
    <row r="391" spans="1:21" ht="39.75" customHeight="1">
      <c r="A391" s="53"/>
      <c r="B391" s="53"/>
      <c r="C391" s="27" t="s">
        <v>477</v>
      </c>
      <c r="D391" s="16">
        <v>1</v>
      </c>
      <c r="E391" s="17" t="str">
        <f ca="1">'1RA PROTECCION CIVIL'!C16</f>
        <v>INCENDIO POR SOBRECALENTAMIENTO DE MOTOR ATENDIDO</v>
      </c>
      <c r="F391" s="17" t="str">
        <f ca="1">'1RA PROTECCION CIVIL'!D16</f>
        <v>DECENDENTE</v>
      </c>
      <c r="G391" s="17" t="str">
        <f ca="1">'1RA PROTECCION CIVIL'!E16</f>
        <v>BITACORA OPERATIVA</v>
      </c>
      <c r="H391" s="18">
        <f ca="1">'2RA PROTECCION CIVIL'!F16</f>
        <v>0</v>
      </c>
      <c r="I391" s="19">
        <f ca="1">'2RA PROTECCION CIVIL'!G16</f>
        <v>0</v>
      </c>
      <c r="J391" s="19">
        <f ca="1">'2RA PROTECCION CIVIL'!H16</f>
        <v>0</v>
      </c>
      <c r="K391" s="19">
        <f ca="1">'2RA PROTECCION CIVIL'!I16</f>
        <v>0</v>
      </c>
      <c r="L391" s="19">
        <f ca="1">'2RA PROTECCION CIVIL'!J16</f>
        <v>0</v>
      </c>
      <c r="M391" s="19">
        <f ca="1">'2RA PROTECCION CIVIL'!K16</f>
        <v>0</v>
      </c>
      <c r="N391" s="19">
        <f ca="1">'2RA PROTECCION CIVIL'!L16</f>
        <v>0</v>
      </c>
      <c r="O391" s="19">
        <f ca="1">'2RA PROTECCION CIVIL'!M16</f>
        <v>0</v>
      </c>
      <c r="P391" s="19">
        <f ca="1">'2RA PROTECCION CIVIL'!N16</f>
        <v>0</v>
      </c>
      <c r="Q391" s="19">
        <f ca="1">'2RA PROTECCION CIVIL'!O16</f>
        <v>0</v>
      </c>
      <c r="R391" s="19">
        <f ca="1">'2RA PROTECCION CIVIL'!P16</f>
        <v>0</v>
      </c>
      <c r="S391" s="19">
        <f ca="1">'2RA PROTECCION CIVIL'!Q16</f>
        <v>0</v>
      </c>
      <c r="T391" s="19">
        <f ca="1">'2RA PROTECCION CIVIL'!R16</f>
        <v>0</v>
      </c>
      <c r="U391" s="21">
        <f ca="1">'2RA PROTECCION CIVIL'!S16</f>
        <v>0</v>
      </c>
    </row>
    <row r="392" spans="1:21" ht="39.75" customHeight="1">
      <c r="A392" s="53"/>
      <c r="B392" s="53"/>
      <c r="C392" s="27" t="s">
        <v>478</v>
      </c>
      <c r="D392" s="16">
        <v>46</v>
      </c>
      <c r="E392" s="17" t="str">
        <f ca="1">'1RA PROTECCION CIVIL'!C17</f>
        <v>INCENDIO POR FALSA EXPLOSION ATENDIDA</v>
      </c>
      <c r="F392" s="17" t="str">
        <f ca="1">'1RA PROTECCION CIVIL'!D17</f>
        <v>DECENDENTE</v>
      </c>
      <c r="G392" s="17" t="str">
        <f ca="1">'1RA PROTECCION CIVIL'!E17</f>
        <v>BITACORA OPERATIVA</v>
      </c>
      <c r="H392" s="18">
        <f ca="1">'2RA PROTECCION CIVIL'!F17</f>
        <v>0</v>
      </c>
      <c r="I392" s="19">
        <f ca="1">'2RA PROTECCION CIVIL'!G17</f>
        <v>0</v>
      </c>
      <c r="J392" s="19">
        <f ca="1">'2RA PROTECCION CIVIL'!H17</f>
        <v>0</v>
      </c>
      <c r="K392" s="19">
        <f ca="1">'2RA PROTECCION CIVIL'!I17</f>
        <v>0</v>
      </c>
      <c r="L392" s="19">
        <f ca="1">'2RA PROTECCION CIVIL'!J17</f>
        <v>0</v>
      </c>
      <c r="M392" s="19">
        <f ca="1">'2RA PROTECCION CIVIL'!K17</f>
        <v>0</v>
      </c>
      <c r="N392" s="19">
        <f ca="1">'2RA PROTECCION CIVIL'!L17</f>
        <v>0</v>
      </c>
      <c r="O392" s="19">
        <f ca="1">'2RA PROTECCION CIVIL'!M17</f>
        <v>0</v>
      </c>
      <c r="P392" s="19">
        <f ca="1">'2RA PROTECCION CIVIL'!N17</f>
        <v>0</v>
      </c>
      <c r="Q392" s="19">
        <f ca="1">'2RA PROTECCION CIVIL'!O17</f>
        <v>0</v>
      </c>
      <c r="R392" s="19">
        <f ca="1">'2RA PROTECCION CIVIL'!P17</f>
        <v>0</v>
      </c>
      <c r="S392" s="19">
        <f ca="1">'2RA PROTECCION CIVIL'!Q17</f>
        <v>0</v>
      </c>
      <c r="T392" s="19">
        <f ca="1">'2RA PROTECCION CIVIL'!R17</f>
        <v>0</v>
      </c>
      <c r="U392" s="21">
        <f ca="1">'2RA PROTECCION CIVIL'!S17</f>
        <v>0</v>
      </c>
    </row>
    <row r="393" spans="1:21" ht="39.75" customHeight="1">
      <c r="A393" s="53"/>
      <c r="B393" s="53"/>
      <c r="C393" s="27" t="s">
        <v>479</v>
      </c>
      <c r="D393" s="16">
        <v>29</v>
      </c>
      <c r="E393" s="17" t="str">
        <f ca="1">'1RA PROTECCION CIVIL'!C18</f>
        <v xml:space="preserve"> CHOQUE DE VEHICULO ATENDIDO</v>
      </c>
      <c r="F393" s="17" t="str">
        <f ca="1">'1RA PROTECCION CIVIL'!D18</f>
        <v>DECENDENTE</v>
      </c>
      <c r="G393" s="17" t="str">
        <f ca="1">'1RA PROTECCION CIVIL'!E18</f>
        <v>BITACORA OPERATIVA</v>
      </c>
      <c r="H393" s="18">
        <f ca="1">'2RA PROTECCION CIVIL'!F18</f>
        <v>0</v>
      </c>
      <c r="I393" s="19">
        <f ca="1">'2RA PROTECCION CIVIL'!G18</f>
        <v>0</v>
      </c>
      <c r="J393" s="19">
        <f ca="1">'2RA PROTECCION CIVIL'!H18</f>
        <v>0</v>
      </c>
      <c r="K393" s="19">
        <f ca="1">'2RA PROTECCION CIVIL'!I18</f>
        <v>0</v>
      </c>
      <c r="L393" s="19">
        <f ca="1">'2RA PROTECCION CIVIL'!J18</f>
        <v>0</v>
      </c>
      <c r="M393" s="19">
        <f ca="1">'2RA PROTECCION CIVIL'!K18</f>
        <v>0</v>
      </c>
      <c r="N393" s="19">
        <f ca="1">'2RA PROTECCION CIVIL'!L18</f>
        <v>0</v>
      </c>
      <c r="O393" s="19">
        <f ca="1">'2RA PROTECCION CIVIL'!M18</f>
        <v>0</v>
      </c>
      <c r="P393" s="19">
        <f ca="1">'2RA PROTECCION CIVIL'!N18</f>
        <v>0</v>
      </c>
      <c r="Q393" s="19">
        <f ca="1">'2RA PROTECCION CIVIL'!O18</f>
        <v>0</v>
      </c>
      <c r="R393" s="19">
        <f ca="1">'2RA PROTECCION CIVIL'!P18</f>
        <v>0</v>
      </c>
      <c r="S393" s="19">
        <f ca="1">'2RA PROTECCION CIVIL'!Q18</f>
        <v>0</v>
      </c>
      <c r="T393" s="19">
        <f ca="1">'2RA PROTECCION CIVIL'!R18</f>
        <v>0</v>
      </c>
      <c r="U393" s="21">
        <f ca="1">'2RA PROTECCION CIVIL'!S18</f>
        <v>0</v>
      </c>
    </row>
    <row r="394" spans="1:21" ht="39.75" customHeight="1">
      <c r="A394" s="53"/>
      <c r="B394" s="53"/>
      <c r="C394" s="27" t="s">
        <v>480</v>
      </c>
      <c r="D394" s="16">
        <v>1</v>
      </c>
      <c r="E394" s="17" t="str">
        <f ca="1">'1RA PROTECCION CIVIL'!C19</f>
        <v>VOLCAMIENTO ATENDIDO</v>
      </c>
      <c r="F394" s="17" t="str">
        <f ca="1">'1RA PROTECCION CIVIL'!D19</f>
        <v>DECENDENTE</v>
      </c>
      <c r="G394" s="17" t="str">
        <f ca="1">'1RA PROTECCION CIVIL'!E19</f>
        <v>BITACORA OPERATIVA</v>
      </c>
      <c r="H394" s="18">
        <f ca="1">'2RA PROTECCION CIVIL'!F19</f>
        <v>0</v>
      </c>
      <c r="I394" s="19">
        <f ca="1">'2RA PROTECCION CIVIL'!G19</f>
        <v>0</v>
      </c>
      <c r="J394" s="19">
        <f ca="1">'2RA PROTECCION CIVIL'!H19</f>
        <v>0</v>
      </c>
      <c r="K394" s="19">
        <f ca="1">'2RA PROTECCION CIVIL'!I19</f>
        <v>0</v>
      </c>
      <c r="L394" s="19">
        <f ca="1">'2RA PROTECCION CIVIL'!J19</f>
        <v>0</v>
      </c>
      <c r="M394" s="19">
        <f ca="1">'2RA PROTECCION CIVIL'!K19</f>
        <v>0</v>
      </c>
      <c r="N394" s="19">
        <f ca="1">'2RA PROTECCION CIVIL'!L19</f>
        <v>0</v>
      </c>
      <c r="O394" s="19">
        <f ca="1">'2RA PROTECCION CIVIL'!M19</f>
        <v>0</v>
      </c>
      <c r="P394" s="19">
        <f ca="1">'2RA PROTECCION CIVIL'!N19</f>
        <v>0</v>
      </c>
      <c r="Q394" s="19">
        <f ca="1">'2RA PROTECCION CIVIL'!O19</f>
        <v>0</v>
      </c>
      <c r="R394" s="19">
        <f ca="1">'2RA PROTECCION CIVIL'!P19</f>
        <v>0</v>
      </c>
      <c r="S394" s="19">
        <f ca="1">'2RA PROTECCION CIVIL'!Q19</f>
        <v>0</v>
      </c>
      <c r="T394" s="19">
        <f ca="1">'2RA PROTECCION CIVIL'!R19</f>
        <v>0</v>
      </c>
      <c r="U394" s="21">
        <f ca="1">'2RA PROTECCION CIVIL'!S19</f>
        <v>0</v>
      </c>
    </row>
    <row r="395" spans="1:21" ht="39.75" customHeight="1">
      <c r="A395" s="53"/>
      <c r="B395" s="53"/>
      <c r="C395" s="27" t="s">
        <v>481</v>
      </c>
      <c r="D395" s="16">
        <v>1</v>
      </c>
      <c r="E395" s="17" t="str">
        <f ca="1">'1RA PROTECCION CIVIL'!C20</f>
        <v>ACCIDENTE DE TRANSITO ATENDIDO</v>
      </c>
      <c r="F395" s="17" t="str">
        <f ca="1">'1RA PROTECCION CIVIL'!D20</f>
        <v>DECENDENTE</v>
      </c>
      <c r="G395" s="17" t="str">
        <f ca="1">'1RA PROTECCION CIVIL'!E20</f>
        <v>BITACORA OPERATIVA</v>
      </c>
      <c r="H395" s="18">
        <f ca="1">'2RA PROTECCION CIVIL'!F20</f>
        <v>0</v>
      </c>
      <c r="I395" s="19">
        <f ca="1">'2RA PROTECCION CIVIL'!G20</f>
        <v>0</v>
      </c>
      <c r="J395" s="19">
        <f ca="1">'2RA PROTECCION CIVIL'!H20</f>
        <v>0</v>
      </c>
      <c r="K395" s="19">
        <f ca="1">'2RA PROTECCION CIVIL'!I20</f>
        <v>0</v>
      </c>
      <c r="L395" s="19">
        <f ca="1">'2RA PROTECCION CIVIL'!J20</f>
        <v>0</v>
      </c>
      <c r="M395" s="19">
        <f ca="1">'2RA PROTECCION CIVIL'!K20</f>
        <v>0</v>
      </c>
      <c r="N395" s="19">
        <f ca="1">'2RA PROTECCION CIVIL'!L20</f>
        <v>0</v>
      </c>
      <c r="O395" s="19">
        <f ca="1">'2RA PROTECCION CIVIL'!M20</f>
        <v>0</v>
      </c>
      <c r="P395" s="19">
        <f ca="1">'2RA PROTECCION CIVIL'!N20</f>
        <v>0</v>
      </c>
      <c r="Q395" s="19">
        <f ca="1">'2RA PROTECCION CIVIL'!O20</f>
        <v>0</v>
      </c>
      <c r="R395" s="19">
        <f ca="1">'2RA PROTECCION CIVIL'!P20</f>
        <v>0</v>
      </c>
      <c r="S395" s="19">
        <f ca="1">'2RA PROTECCION CIVIL'!Q20</f>
        <v>0</v>
      </c>
      <c r="T395" s="19">
        <f ca="1">'2RA PROTECCION CIVIL'!R20</f>
        <v>0</v>
      </c>
      <c r="U395" s="21">
        <f ca="1">'2RA PROTECCION CIVIL'!S20</f>
        <v>0</v>
      </c>
    </row>
    <row r="396" spans="1:21" ht="39.75" customHeight="1">
      <c r="A396" s="53"/>
      <c r="B396" s="53"/>
      <c r="C396" s="27" t="s">
        <v>482</v>
      </c>
      <c r="D396" s="16">
        <v>346</v>
      </c>
      <c r="E396" s="17" t="str">
        <f ca="1">'1RA PROTECCION CIVIL'!C21</f>
        <v>RESTO DE CAUSAS ATENDIDAS</v>
      </c>
      <c r="F396" s="17" t="str">
        <f ca="1">'1RA PROTECCION CIVIL'!D21</f>
        <v>DECENDENTE</v>
      </c>
      <c r="G396" s="17" t="str">
        <f ca="1">'1RA PROTECCION CIVIL'!E21</f>
        <v>BITACORA OPERATIVA</v>
      </c>
      <c r="H396" s="18">
        <f ca="1">'2RA PROTECCION CIVIL'!F21</f>
        <v>0</v>
      </c>
      <c r="I396" s="19">
        <f ca="1">'2RA PROTECCION CIVIL'!G21</f>
        <v>0</v>
      </c>
      <c r="J396" s="19">
        <f ca="1">'2RA PROTECCION CIVIL'!H21</f>
        <v>0</v>
      </c>
      <c r="K396" s="19">
        <f ca="1">'2RA PROTECCION CIVIL'!I21</f>
        <v>0</v>
      </c>
      <c r="L396" s="19">
        <f ca="1">'2RA PROTECCION CIVIL'!J21</f>
        <v>0</v>
      </c>
      <c r="M396" s="19">
        <f ca="1">'2RA PROTECCION CIVIL'!K21</f>
        <v>0</v>
      </c>
      <c r="N396" s="19">
        <f ca="1">'2RA PROTECCION CIVIL'!L21</f>
        <v>0</v>
      </c>
      <c r="O396" s="19">
        <f ca="1">'2RA PROTECCION CIVIL'!M21</f>
        <v>0</v>
      </c>
      <c r="P396" s="19">
        <f ca="1">'2RA PROTECCION CIVIL'!N21</f>
        <v>0</v>
      </c>
      <c r="Q396" s="19">
        <f ca="1">'2RA PROTECCION CIVIL'!O21</f>
        <v>0</v>
      </c>
      <c r="R396" s="19">
        <f ca="1">'2RA PROTECCION CIVIL'!P21</f>
        <v>0</v>
      </c>
      <c r="S396" s="19">
        <f ca="1">'2RA PROTECCION CIVIL'!Q21</f>
        <v>0</v>
      </c>
      <c r="T396" s="19">
        <f ca="1">'2RA PROTECCION CIVIL'!R21</f>
        <v>0</v>
      </c>
      <c r="U396" s="21">
        <f ca="1">'2RA PROTECCION CIVIL'!S21</f>
        <v>0</v>
      </c>
    </row>
    <row r="397" spans="1:21" ht="39.75" customHeight="1">
      <c r="A397" s="53"/>
      <c r="B397" s="53"/>
      <c r="C397" s="27" t="s">
        <v>483</v>
      </c>
      <c r="D397" s="16">
        <v>1</v>
      </c>
      <c r="E397" s="17" t="str">
        <f ca="1">'1RA PROTECCION CIVIL'!C22</f>
        <v>ACCIDENTE DE TRANSITO ATENDIDO</v>
      </c>
      <c r="F397" s="17" t="str">
        <f ca="1">'1RA PROTECCION CIVIL'!D22</f>
        <v>DECENDENTE</v>
      </c>
      <c r="G397" s="17" t="str">
        <f ca="1">'1RA PROTECCION CIVIL'!E22</f>
        <v>BITACORA OPERATIVA</v>
      </c>
      <c r="H397" s="18">
        <f ca="1">'2RA PROTECCION CIVIL'!F22</f>
        <v>0</v>
      </c>
      <c r="I397" s="19">
        <f ca="1">'2RA PROTECCION CIVIL'!G22</f>
        <v>0</v>
      </c>
      <c r="J397" s="19">
        <f ca="1">'2RA PROTECCION CIVIL'!H22</f>
        <v>0</v>
      </c>
      <c r="K397" s="19">
        <f ca="1">'2RA PROTECCION CIVIL'!I22</f>
        <v>0</v>
      </c>
      <c r="L397" s="19">
        <f ca="1">'2RA PROTECCION CIVIL'!J22</f>
        <v>0</v>
      </c>
      <c r="M397" s="19">
        <f ca="1">'2RA PROTECCION CIVIL'!K22</f>
        <v>0</v>
      </c>
      <c r="N397" s="19">
        <f ca="1">'2RA PROTECCION CIVIL'!L22</f>
        <v>0</v>
      </c>
      <c r="O397" s="19">
        <f ca="1">'2RA PROTECCION CIVIL'!M22</f>
        <v>0</v>
      </c>
      <c r="P397" s="19">
        <f ca="1">'2RA PROTECCION CIVIL'!N22</f>
        <v>0</v>
      </c>
      <c r="Q397" s="19">
        <f ca="1">'2RA PROTECCION CIVIL'!O22</f>
        <v>0</v>
      </c>
      <c r="R397" s="19">
        <f ca="1">'2RA PROTECCION CIVIL'!P22</f>
        <v>0</v>
      </c>
      <c r="S397" s="19">
        <f ca="1">'2RA PROTECCION CIVIL'!Q22</f>
        <v>0</v>
      </c>
      <c r="T397" s="19">
        <f ca="1">'2RA PROTECCION CIVIL'!R22</f>
        <v>0</v>
      </c>
      <c r="U397" s="21">
        <f ca="1">'2RA PROTECCION CIVIL'!S22</f>
        <v>0</v>
      </c>
    </row>
    <row r="398" spans="1:21" ht="39.75" customHeight="1">
      <c r="A398" s="53"/>
      <c r="B398" s="53"/>
      <c r="C398" s="27" t="s">
        <v>484</v>
      </c>
      <c r="D398" s="16">
        <v>1</v>
      </c>
      <c r="E398" s="17" t="str">
        <f ca="1">'1RA PROTECCION CIVIL'!C23</f>
        <v>VOLCADURA ATEDIDA</v>
      </c>
      <c r="F398" s="17" t="str">
        <f ca="1">'1RA PROTECCION CIVIL'!D23</f>
        <v>DECENDENTE</v>
      </c>
      <c r="G398" s="17" t="str">
        <f ca="1">'1RA PROTECCION CIVIL'!E23</f>
        <v>BITACORA OPERATIVA</v>
      </c>
      <c r="H398" s="18">
        <f ca="1">'2RA PROTECCION CIVIL'!F23</f>
        <v>0</v>
      </c>
      <c r="I398" s="19">
        <f ca="1">'2RA PROTECCION CIVIL'!G23</f>
        <v>0</v>
      </c>
      <c r="J398" s="19">
        <f ca="1">'2RA PROTECCION CIVIL'!H23</f>
        <v>0</v>
      </c>
      <c r="K398" s="19">
        <f ca="1">'2RA PROTECCION CIVIL'!I23</f>
        <v>0</v>
      </c>
      <c r="L398" s="19">
        <f ca="1">'2RA PROTECCION CIVIL'!J23</f>
        <v>0</v>
      </c>
      <c r="M398" s="19">
        <f ca="1">'2RA PROTECCION CIVIL'!K23</f>
        <v>0</v>
      </c>
      <c r="N398" s="19">
        <f ca="1">'2RA PROTECCION CIVIL'!L23</f>
        <v>0</v>
      </c>
      <c r="O398" s="19">
        <f ca="1">'2RA PROTECCION CIVIL'!M23</f>
        <v>0</v>
      </c>
      <c r="P398" s="19">
        <f ca="1">'2RA PROTECCION CIVIL'!N23</f>
        <v>0</v>
      </c>
      <c r="Q398" s="19">
        <f ca="1">'2RA PROTECCION CIVIL'!O23</f>
        <v>0</v>
      </c>
      <c r="R398" s="19">
        <f ca="1">'2RA PROTECCION CIVIL'!P23</f>
        <v>0</v>
      </c>
      <c r="S398" s="19">
        <f ca="1">'2RA PROTECCION CIVIL'!Q23</f>
        <v>0</v>
      </c>
      <c r="T398" s="19">
        <f ca="1">'2RA PROTECCION CIVIL'!R23</f>
        <v>0</v>
      </c>
      <c r="U398" s="21">
        <f ca="1">'2RA PROTECCION CIVIL'!S23</f>
        <v>0</v>
      </c>
    </row>
    <row r="399" spans="1:21" ht="39.75" customHeight="1">
      <c r="A399" s="53"/>
      <c r="B399" s="53"/>
      <c r="C399" s="27" t="s">
        <v>485</v>
      </c>
      <c r="D399" s="16">
        <v>1</v>
      </c>
      <c r="E399" s="17" t="str">
        <f ca="1">'1RA PROTECCION CIVIL'!C24</f>
        <v>UTILIZACION DE EQUIPO DE SOLDADURA</v>
      </c>
      <c r="F399" s="17" t="str">
        <f ca="1">'1RA PROTECCION CIVIL'!D24</f>
        <v>DECENDENTE</v>
      </c>
      <c r="G399" s="17" t="str">
        <f ca="1">'1RA PROTECCION CIVIL'!E24</f>
        <v>BITACORA OPERATIVA</v>
      </c>
      <c r="H399" s="18">
        <f ca="1">'2RA PROTECCION CIVIL'!F24</f>
        <v>0</v>
      </c>
      <c r="I399" s="19">
        <f ca="1">'2RA PROTECCION CIVIL'!G24</f>
        <v>0</v>
      </c>
      <c r="J399" s="19">
        <f ca="1">'2RA PROTECCION CIVIL'!H24</f>
        <v>0</v>
      </c>
      <c r="K399" s="19">
        <f ca="1">'2RA PROTECCION CIVIL'!I24</f>
        <v>0</v>
      </c>
      <c r="L399" s="19">
        <f ca="1">'2RA PROTECCION CIVIL'!J24</f>
        <v>0</v>
      </c>
      <c r="M399" s="19">
        <f ca="1">'2RA PROTECCION CIVIL'!K24</f>
        <v>0</v>
      </c>
      <c r="N399" s="19">
        <f ca="1">'2RA PROTECCION CIVIL'!L24</f>
        <v>0</v>
      </c>
      <c r="O399" s="19">
        <f ca="1">'2RA PROTECCION CIVIL'!M24</f>
        <v>0</v>
      </c>
      <c r="P399" s="19">
        <f ca="1">'2RA PROTECCION CIVIL'!N24</f>
        <v>0</v>
      </c>
      <c r="Q399" s="19">
        <f ca="1">'2RA PROTECCION CIVIL'!O24</f>
        <v>0</v>
      </c>
      <c r="R399" s="19">
        <f ca="1">'2RA PROTECCION CIVIL'!P24</f>
        <v>0</v>
      </c>
      <c r="S399" s="19">
        <f ca="1">'2RA PROTECCION CIVIL'!Q24</f>
        <v>0</v>
      </c>
      <c r="T399" s="19">
        <f ca="1">'2RA PROTECCION CIVIL'!R24</f>
        <v>0</v>
      </c>
      <c r="U399" s="21">
        <f ca="1">'2RA PROTECCION CIVIL'!S24</f>
        <v>0</v>
      </c>
    </row>
    <row r="400" spans="1:21" ht="39.75" customHeight="1">
      <c r="A400" s="53"/>
      <c r="B400" s="53"/>
      <c r="C400" s="27" t="s">
        <v>486</v>
      </c>
      <c r="D400" s="16">
        <v>1</v>
      </c>
      <c r="E400" s="17" t="str">
        <f ca="1">'1RA PROTECCION CIVIL'!C25</f>
        <v>ACCIDENTE POR UTILIZAR INCORRECTAMENTE EL EQUIPO DE SOLDADURA</v>
      </c>
      <c r="F400" s="17" t="str">
        <f ca="1">'1RA PROTECCION CIVIL'!D25</f>
        <v>DECENDENTE</v>
      </c>
      <c r="G400" s="17" t="str">
        <f ca="1">'1RA PROTECCION CIVIL'!E25</f>
        <v>BITACORA OPERATIVA</v>
      </c>
      <c r="H400" s="18">
        <f ca="1">'2RA PROTECCION CIVIL'!F25</f>
        <v>0</v>
      </c>
      <c r="I400" s="19">
        <f ca="1">'2RA PROTECCION CIVIL'!G25</f>
        <v>0</v>
      </c>
      <c r="J400" s="19">
        <f ca="1">'2RA PROTECCION CIVIL'!H25</f>
        <v>0</v>
      </c>
      <c r="K400" s="19">
        <f ca="1">'2RA PROTECCION CIVIL'!I25</f>
        <v>0</v>
      </c>
      <c r="L400" s="19">
        <f ca="1">'2RA PROTECCION CIVIL'!J25</f>
        <v>0</v>
      </c>
      <c r="M400" s="19">
        <f ca="1">'2RA PROTECCION CIVIL'!K25</f>
        <v>0</v>
      </c>
      <c r="N400" s="19">
        <f ca="1">'2RA PROTECCION CIVIL'!L25</f>
        <v>0</v>
      </c>
      <c r="O400" s="19">
        <f ca="1">'2RA PROTECCION CIVIL'!M25</f>
        <v>0</v>
      </c>
      <c r="P400" s="19">
        <f ca="1">'2RA PROTECCION CIVIL'!N25</f>
        <v>0</v>
      </c>
      <c r="Q400" s="19">
        <f ca="1">'2RA PROTECCION CIVIL'!O25</f>
        <v>0</v>
      </c>
      <c r="R400" s="19">
        <f ca="1">'2RA PROTECCION CIVIL'!P25</f>
        <v>0</v>
      </c>
      <c r="S400" s="19">
        <f ca="1">'2RA PROTECCION CIVIL'!Q25</f>
        <v>0</v>
      </c>
      <c r="T400" s="19">
        <f ca="1">'2RA PROTECCION CIVIL'!R25</f>
        <v>0</v>
      </c>
      <c r="U400" s="21">
        <f ca="1">'2RA PROTECCION CIVIL'!S25</f>
        <v>0</v>
      </c>
    </row>
    <row r="401" spans="1:21" ht="39.75" customHeight="1">
      <c r="A401" s="51"/>
      <c r="B401" s="51"/>
      <c r="C401" s="27" t="s">
        <v>487</v>
      </c>
      <c r="D401" s="16">
        <v>941</v>
      </c>
      <c r="E401" s="17" t="str">
        <f ca="1">'1RA PROTECCION CIVIL'!C26</f>
        <v>INCENDIO FORESTAL ATENDIDO</v>
      </c>
      <c r="F401" s="17" t="str">
        <f ca="1">'1RA PROTECCION CIVIL'!D26</f>
        <v>DECENDENTE</v>
      </c>
      <c r="G401" s="17" t="str">
        <f ca="1">'1RA PROTECCION CIVIL'!E26</f>
        <v>BITACORA OPERATIVA</v>
      </c>
      <c r="H401" s="18">
        <f ca="1">'2RA PROTECCION CIVIL'!F26</f>
        <v>0</v>
      </c>
      <c r="I401" s="19">
        <f ca="1">'2RA PROTECCION CIVIL'!G26</f>
        <v>0</v>
      </c>
      <c r="J401" s="19">
        <f ca="1">'2RA PROTECCION CIVIL'!H26</f>
        <v>0</v>
      </c>
      <c r="K401" s="19">
        <f ca="1">'2RA PROTECCION CIVIL'!I26</f>
        <v>0</v>
      </c>
      <c r="L401" s="19">
        <f ca="1">'2RA PROTECCION CIVIL'!J26</f>
        <v>0</v>
      </c>
      <c r="M401" s="19">
        <f ca="1">'2RA PROTECCION CIVIL'!K26</f>
        <v>0</v>
      </c>
      <c r="N401" s="19">
        <f ca="1">'2RA PROTECCION CIVIL'!L26</f>
        <v>0</v>
      </c>
      <c r="O401" s="19">
        <f ca="1">'2RA PROTECCION CIVIL'!M26</f>
        <v>0</v>
      </c>
      <c r="P401" s="19">
        <f ca="1">'2RA PROTECCION CIVIL'!N26</f>
        <v>0</v>
      </c>
      <c r="Q401" s="19">
        <f ca="1">'2RA PROTECCION CIVIL'!O26</f>
        <v>0</v>
      </c>
      <c r="R401" s="19">
        <f ca="1">'2RA PROTECCION CIVIL'!P26</f>
        <v>0</v>
      </c>
      <c r="S401" s="19">
        <f ca="1">'2RA PROTECCION CIVIL'!Q26</f>
        <v>0</v>
      </c>
      <c r="T401" s="19">
        <f ca="1">'2RA PROTECCION CIVIL'!R26</f>
        <v>0</v>
      </c>
      <c r="U401" s="21">
        <f ca="1">'2RA PROTECCION CIVIL'!S26</f>
        <v>0</v>
      </c>
    </row>
  </sheetData>
  <mergeCells count="71">
    <mergeCell ref="B119:B130"/>
    <mergeCell ref="B259:B264"/>
    <mergeCell ref="B265:B275"/>
    <mergeCell ref="B276:B283"/>
    <mergeCell ref="B284:B286"/>
    <mergeCell ref="B131:B150"/>
    <mergeCell ref="B151:B188"/>
    <mergeCell ref="B189:B196"/>
    <mergeCell ref="B198:B205"/>
    <mergeCell ref="B206:B207"/>
    <mergeCell ref="B208:B210"/>
    <mergeCell ref="B211:B218"/>
    <mergeCell ref="B78:B85"/>
    <mergeCell ref="B86:B90"/>
    <mergeCell ref="B91:B95"/>
    <mergeCell ref="B96:B99"/>
    <mergeCell ref="B100:B118"/>
    <mergeCell ref="A14:A21"/>
    <mergeCell ref="B14:B15"/>
    <mergeCell ref="B17:B18"/>
    <mergeCell ref="B19:B21"/>
    <mergeCell ref="B30:B36"/>
    <mergeCell ref="A78:A95"/>
    <mergeCell ref="A96:A188"/>
    <mergeCell ref="A189:A205"/>
    <mergeCell ref="A206:A234"/>
    <mergeCell ref="A235:A320"/>
    <mergeCell ref="B22:B24"/>
    <mergeCell ref="B25:B29"/>
    <mergeCell ref="A22:A36"/>
    <mergeCell ref="A37:A52"/>
    <mergeCell ref="A53:A77"/>
    <mergeCell ref="B37:B41"/>
    <mergeCell ref="B42:B44"/>
    <mergeCell ref="B45:B49"/>
    <mergeCell ref="B50:B52"/>
    <mergeCell ref="B53:B56"/>
    <mergeCell ref="B57:B62"/>
    <mergeCell ref="B63:B66"/>
    <mergeCell ref="B68:B77"/>
    <mergeCell ref="A1:H1"/>
    <mergeCell ref="I1:O1"/>
    <mergeCell ref="P1:U1"/>
    <mergeCell ref="A3:A13"/>
    <mergeCell ref="B3:B4"/>
    <mergeCell ref="B5:B6"/>
    <mergeCell ref="B7:B8"/>
    <mergeCell ref="B9:B11"/>
    <mergeCell ref="B12:B13"/>
    <mergeCell ref="A359:A376"/>
    <mergeCell ref="A377:A401"/>
    <mergeCell ref="B233:B234"/>
    <mergeCell ref="B235:B258"/>
    <mergeCell ref="A321:A358"/>
    <mergeCell ref="B321:B354"/>
    <mergeCell ref="B355:B358"/>
    <mergeCell ref="B359:B361"/>
    <mergeCell ref="B369:B376"/>
    <mergeCell ref="B287:B297"/>
    <mergeCell ref="B298:B315"/>
    <mergeCell ref="B316:B320"/>
    <mergeCell ref="B229:B230"/>
    <mergeCell ref="B231:B232"/>
    <mergeCell ref="B362:B364"/>
    <mergeCell ref="B365:B368"/>
    <mergeCell ref="B377:B401"/>
    <mergeCell ref="B219:B220"/>
    <mergeCell ref="B221:B222"/>
    <mergeCell ref="B223:B224"/>
    <mergeCell ref="B225:B226"/>
    <mergeCell ref="B227:B228"/>
  </mergeCells>
  <conditionalFormatting sqref="H3:H401">
    <cfRule type="cellIs" dxfId="5" priority="1" operator="greaterThan">
      <formula>70</formula>
    </cfRule>
  </conditionalFormatting>
  <conditionalFormatting sqref="H3:H401">
    <cfRule type="cellIs" dxfId="4" priority="2" operator="between">
      <formula>40</formula>
      <formula>79</formula>
    </cfRule>
  </conditionalFormatting>
  <conditionalFormatting sqref="H3:H401">
    <cfRule type="cellIs" dxfId="3" priority="3" operator="between">
      <formula>0.01</formula>
      <formula>39.99</formula>
    </cfRule>
  </conditionalFormatting>
  <conditionalFormatting sqref="H3:H401">
    <cfRule type="cellIs" dxfId="2" priority="4" operator="equal">
      <formula>0</formula>
    </cfRule>
  </conditionalFormatting>
  <conditionalFormatting sqref="I3:T401">
    <cfRule type="cellIs" dxfId="1" priority="5" operator="equal">
      <formula>0</formula>
    </cfRule>
  </conditionalFormatting>
  <conditionalFormatting sqref="I3:T401">
    <cfRule type="cellIs" dxfId="0" priority="6" operator="greaterThan">
      <formula>0</formula>
    </cfRule>
  </conditionalFormatting>
  <pageMargins left="0.25" right="0.25" top="0.75" bottom="0.75" header="0" footer="0"/>
  <pageSetup paperSize="5" scale="53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IFERROR(__xludf.DUMMYFUNCTION("IMPORTRANGE(""https://docs.google.com/spreadsheets/d/1fs0169odc5rWV8MF1AWBHsYabKTF4Al9BYbjt6nj_j0/edit?gid=850428700#gid=850428700"",""02!A1:S"")"),"INDICADORES")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IFERROR(__xludf.DUMMYFUNCTION("""COMPUTED_VALUE"""),"M2 DE SEÑALAMIENTOS HORIZONTALES")</f>
        <v>M2 DE SEÑALAMIENTOS HORIZONTALES</v>
      </c>
      <c r="B2" s="46">
        <f ca="1">IFERROR(__xludf.DUMMYFUNCTION("""COMPUTED_VALUE"""),50)</f>
        <v>50</v>
      </c>
      <c r="C2" s="46" t="str">
        <f ca="1">IFERROR(__xludf.DUMMYFUNCTION("""COMPUTED_VALUE"""),"M2 INTERVENIDOS")</f>
        <v>M2 INTERVENIDOS</v>
      </c>
      <c r="D2" s="46" t="str">
        <f ca="1">IFERROR(__xludf.DUMMYFUNCTION("""COMPUTED_VALUE"""),"ASCENDENTE")</f>
        <v>ASCENDENTE</v>
      </c>
      <c r="E2" s="46" t="str">
        <f ca="1">IFERROR(__xludf.DUMMYFUNCTION("""COMPUTED_VALUE"""),"BITACORA OPERATIVA")</f>
        <v>BITACORA OPERATIVA</v>
      </c>
      <c r="F2" s="48">
        <f ca="1">IFERROR(__xludf.DUMMYFUNCTION("""COMPUTED_VALUE"""),40.5)</f>
        <v>40.5</v>
      </c>
      <c r="G2" s="48">
        <f ca="1">IFERROR(__xludf.DUMMYFUNCTION("""COMPUTED_VALUE"""),560)</f>
        <v>560</v>
      </c>
      <c r="H2" s="48">
        <f ca="1">IFERROR(__xludf.DUMMYFUNCTION("""COMPUTED_VALUE"""),100)</f>
        <v>100</v>
      </c>
      <c r="I2" s="48">
        <f ca="1">IFERROR(__xludf.DUMMYFUNCTION("""COMPUTED_VALUE"""),150)</f>
        <v>150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IFERROR(__xludf.DUMMYFUNCTION("""COMPUTED_VALUE"""),810)</f>
        <v>810</v>
      </c>
    </row>
    <row r="3" spans="1:19">
      <c r="A3" s="46" t="str">
        <f ca="1">IFERROR(__xludf.DUMMYFUNCTION("""COMPUTED_VALUE"""),"NUMERO DE SEÑALAMIENTOS VERTICALES")</f>
        <v>NUMERO DE SEÑALAMIENTOS VERTICALES</v>
      </c>
      <c r="B3" s="46">
        <f ca="1">IFERROR(__xludf.DUMMYFUNCTION("""COMPUTED_VALUE"""),1200)</f>
        <v>1200</v>
      </c>
      <c r="C3" s="46" t="str">
        <f ca="1">IFERROR(__xludf.DUMMYFUNCTION("""COMPUTED_VALUE"""),"PIEZAS INSTALADAS")</f>
        <v>PIEZAS INSTALADAS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OPERATIVA")</f>
        <v>BITACORA OPERATIVA</v>
      </c>
      <c r="F3" s="48">
        <f ca="1">IFERROR(__xludf.DUMMYFUNCTION("""COMPUTED_VALUE"""),30)</f>
        <v>30</v>
      </c>
      <c r="G3" s="48">
        <f ca="1">IFERROR(__xludf.DUMMYFUNCTION("""COMPUTED_VALUE"""),40)</f>
        <v>40</v>
      </c>
      <c r="H3" s="48">
        <f ca="1">IFERROR(__xludf.DUMMYFUNCTION("""COMPUTED_VALUE"""),15)</f>
        <v>15</v>
      </c>
      <c r="I3" s="48">
        <f ca="1">IFERROR(__xludf.DUMMYFUNCTION("""COMPUTED_VALUE"""),5)</f>
        <v>5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IFERROR(__xludf.DUMMYFUNCTION("""COMPUTED_VALUE"""),60)</f>
        <v>60</v>
      </c>
    </row>
    <row r="4" spans="1:19">
      <c r="A4" s="46" t="str">
        <f ca="1">IFERROR(__xludf.DUMMYFUNCTION("""COMPUTED_VALUE"""),"DICTAMINACION DE TOPES")</f>
        <v>DICTAMINACION DE TOPES</v>
      </c>
      <c r="B4" s="46">
        <f ca="1">IFERROR(__xludf.DUMMYFUNCTION("""COMPUTED_VALUE"""),80)</f>
        <v>80</v>
      </c>
      <c r="C4" s="46" t="str">
        <f ca="1">IFERROR(__xludf.DUMMYFUNCTION("""COMPUTED_VALUE"""),"TOPES INSTALADOS")</f>
        <v>TOPES INSTALADOS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OPERATIVA")</f>
        <v>BITACORA OPERATIVA</v>
      </c>
      <c r="F4" s="48">
        <f ca="1">IFERROR(__xludf.DUMMYFUNCTION("""COMPUTED_VALUE"""),12)</f>
        <v>12</v>
      </c>
      <c r="G4" s="48">
        <f ca="1">IFERROR(__xludf.DUMMYFUNCTION("""COMPUTED_VALUE"""),2)</f>
        <v>2</v>
      </c>
      <c r="H4" s="48">
        <f ca="1">IFERROR(__xludf.DUMMYFUNCTION("""COMPUTED_VALUE"""),1)</f>
        <v>1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IFERROR(__xludf.DUMMYFUNCTION("""COMPUTED_VALUE"""),3)</f>
        <v>3</v>
      </c>
    </row>
    <row r="5" spans="1:19">
      <c r="A5" s="46" t="str">
        <f ca="1">IFERROR(__xludf.DUMMYFUNCTION("""COMPUTED_VALUE"""),"DICTAMINACION DE ESPACIOS EXCLUSIVOS")</f>
        <v>DICTAMINACION DE ESPACIOS EXCLUSIVOS</v>
      </c>
      <c r="B5" s="46">
        <f ca="1">IFERROR(__xludf.DUMMYFUNCTION("""COMPUTED_VALUE"""),15)</f>
        <v>15</v>
      </c>
      <c r="C5" s="46" t="str">
        <f ca="1">IFERROR(__xludf.DUMMYFUNCTION("""COMPUTED_VALUE"""),"ESPACIOS INTERVENIDOS")</f>
        <v>ESPACIOS INTERVENIDOS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8">
        <f ca="1">IFERROR(__xludf.DUMMYFUNCTION("""COMPUTED_VALUE"""),16)</f>
        <v>16</v>
      </c>
      <c r="G5" s="48">
        <f ca="1">IFERROR(__xludf.DUMMYFUNCTION("""COMPUTED_VALUE"""),2)</f>
        <v>2</v>
      </c>
      <c r="H5" s="48">
        <f ca="1">IFERROR(__xludf.DUMMYFUNCTION("""COMPUTED_VALUE"""),1)</f>
        <v>1</v>
      </c>
      <c r="I5" s="48">
        <f ca="1">IFERROR(__xludf.DUMMYFUNCTION("""COMPUTED_VALUE"""),5)</f>
        <v>5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IFERROR(__xludf.DUMMYFUNCTION("""COMPUTED_VALUE"""),8)</f>
        <v>8</v>
      </c>
    </row>
    <row r="6" spans="1:19">
      <c r="A6" s="46" t="str">
        <f ca="1">IFERROR(__xludf.DUMMYFUNCTION("""COMPUTED_VALUE"""),"PROYECTOS DE INTERVENCION")</f>
        <v>PROYECTOS DE INTERVENCION</v>
      </c>
      <c r="B6" s="46">
        <f ca="1">IFERROR(__xludf.DUMMYFUNCTION("""COMPUTED_VALUE"""),30)</f>
        <v>30</v>
      </c>
      <c r="C6" s="46" t="str">
        <f ca="1">IFERROR(__xludf.DUMMYFUNCTION("""COMPUTED_VALUE"""),"PROYECTOS EJECUTADOS")</f>
        <v>PROYECTOS EJECUTADOS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8">
        <f ca="1">IFERROR(__xludf.DUMMYFUNCTION("""COMPUTED_VALUE"""),6.66666666666666)</f>
        <v>6.6666666666666599</v>
      </c>
      <c r="G6" s="48">
        <f ca="1">IFERROR(__xludf.DUMMYFUNCTION("""COMPUTED_VALUE"""),2)</f>
        <v>2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IFERROR(__xludf.DUMMYFUNCTION("""COMPUTED_VALUE"""),2)</f>
        <v>2</v>
      </c>
    </row>
    <row r="7" spans="1:19">
      <c r="A7" s="46" t="str">
        <f ca="1">IFERROR(__xludf.DUMMYFUNCTION("""COMPUTED_VALUE"""),"SESIONES DE MESAS METROPOLITANAS")</f>
        <v>SESIONES DE MESAS METROPOLITANAS</v>
      </c>
      <c r="B7" s="46">
        <f ca="1">IFERROR(__xludf.DUMMYFUNCTION("""COMPUTED_VALUE"""),12)</f>
        <v>12</v>
      </c>
      <c r="C7" s="46" t="str">
        <f ca="1">IFERROR(__xludf.DUMMYFUNCTION("""COMPUTED_VALUE"""),"SESIONES")</f>
        <v>SESIONES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8">
        <f ca="1">IFERROR(__xludf.DUMMYFUNCTION("""COMPUTED_VALUE"""),0)</f>
        <v>0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IFERROR(__xludf.DUMMYFUNCTION("""COMPUTED_VALUE"""),0)</f>
        <v>0</v>
      </c>
    </row>
    <row r="8" spans="1:19">
      <c r="A8" s="46" t="str">
        <f ca="1">IFERROR(__xludf.DUMMYFUNCTION("""COMPUTED_VALUE"""),"SEGUIMIENTO DE ACUERDOS METROPOLITANOS")</f>
        <v>SEGUIMIENTO DE ACUERDOS METROPOLITANOS</v>
      </c>
      <c r="B8" s="46">
        <f ca="1">IFERROR(__xludf.DUMMYFUNCTION("""COMPUTED_VALUE"""),520)</f>
        <v>520</v>
      </c>
      <c r="C8" s="46" t="str">
        <f ca="1">IFERROR(__xludf.DUMMYFUNCTION("""COMPUTED_VALUE"""),"ACUERDOS TOMADOS")</f>
        <v>ACUERDOS TOMADOS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8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IFERROR(__xludf.DUMMYFUNCTION("""COMPUTED_VALUE"""),"SESIONES DE GRUPOS DE TRABAJO")</f>
        <v>SESIONES DE GRUPOS DE TRABAJO</v>
      </c>
      <c r="B9" s="46">
        <f ca="1">IFERROR(__xludf.DUMMYFUNCTION("""COMPUTED_VALUE"""),500)</f>
        <v>500</v>
      </c>
      <c r="C9" s="46" t="str">
        <f ca="1">IFERROR(__xludf.DUMMYFUNCTION("""COMPUTED_VALUE"""),"SESIONES")</f>
        <v>SESIONES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8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IFERROR(__xludf.DUMMYFUNCTION("""COMPUTED_VALUE"""),"DISEÑO DE HERRAMIENTAS")</f>
        <v>DISEÑO DE HERRAMIENTAS</v>
      </c>
      <c r="B10" s="46">
        <f ca="1">IFERROR(__xludf.DUMMYFUNCTION("""COMPUTED_VALUE"""),1100)</f>
        <v>1100</v>
      </c>
      <c r="C10" s="46" t="str">
        <f ca="1">IFERROR(__xludf.DUMMYFUNCTION("""COMPUTED_VALUE"""),"HERRAMIENTAS REALIZADAS")</f>
        <v>HERRAMIENTAS REALIZADAS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8">
        <f ca="1">IFERROR(__xludf.DUMMYFUNCTION("""COMPUTED_VALUE"""),45)</f>
        <v>45</v>
      </c>
      <c r="G10" s="48">
        <f ca="1">IFERROR(__xludf.DUMMYFUNCTION("""COMPUTED_VALUE"""),2)</f>
        <v>2</v>
      </c>
      <c r="H10" s="48">
        <f ca="1">IFERROR(__xludf.DUMMYFUNCTION("""COMPUTED_VALUE"""),4)</f>
        <v>4</v>
      </c>
      <c r="I10" s="48">
        <f ca="1">IFERROR(__xludf.DUMMYFUNCTION("""COMPUTED_VALUE"""),1)</f>
        <v>1</v>
      </c>
      <c r="J10" s="48">
        <f ca="1">IFERROR(__xludf.DUMMYFUNCTION("""COMPUTED_VALUE"""),2)</f>
        <v>2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IFERROR(__xludf.DUMMYFUNCTION("""COMPUTED_VALUE"""),9)</f>
        <v>9</v>
      </c>
    </row>
    <row r="11" spans="1:19">
      <c r="A11" s="46" t="str">
        <f ca="1">IFERROR(__xludf.DUMMYFUNCTION("""COMPUTED_VALUE"""),"ACTUALIZACION DE HERRAMIENTAS ")</f>
        <v xml:space="preserve">ACTUALIZACION DE HERRAMIENTAS </v>
      </c>
      <c r="B11" s="46">
        <f ca="1">IFERROR(__xludf.DUMMYFUNCTION("""COMPUTED_VALUE"""),980)</f>
        <v>980</v>
      </c>
      <c r="C11" s="46" t="str">
        <f ca="1">IFERROR(__xludf.DUMMYFUNCTION("""COMPUTED_VALUE"""),"HERRAMIENTAS ACTUALIZADAS")</f>
        <v>HERRAMIENTAS ACTUALIZADAS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8">
        <f ca="1">IFERROR(__xludf.DUMMYFUNCTION("""COMPUTED_VALUE"""),44.4444444444444)</f>
        <v>44.4444444444444</v>
      </c>
      <c r="G11" s="48">
        <f ca="1">IFERROR(__xludf.DUMMYFUNCTION("""COMPUTED_VALUE"""),4)</f>
        <v>4</v>
      </c>
      <c r="H11" s="48">
        <f ca="1">IFERROR(__xludf.DUMMYFUNCTION("""COMPUTED_VALUE"""),2)</f>
        <v>2</v>
      </c>
      <c r="I11" s="48">
        <f ca="1">IFERROR(__xludf.DUMMYFUNCTION("""COMPUTED_VALUE"""),0)</f>
        <v>0</v>
      </c>
      <c r="J11" s="48">
        <f ca="1">IFERROR(__xludf.DUMMYFUNCTION("""COMPUTED_VALUE"""),2)</f>
        <v>2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IFERROR(__xludf.DUMMYFUNCTION("""COMPUTED_VALUE"""),8)</f>
        <v>8</v>
      </c>
    </row>
    <row r="12" spans="1:19">
      <c r="A12" s="46" t="str">
        <f ca="1">IFERROR(__xludf.DUMMYFUNCTION("""COMPUTED_VALUE"""),"SESIONES DE GRUPOS DE TRABAJO")</f>
        <v>SESIONES DE GRUPOS DE TRABAJO</v>
      </c>
      <c r="B12" s="46">
        <f ca="1">IFERROR(__xludf.DUMMYFUNCTION("""COMPUTED_VALUE"""),70)</f>
        <v>70</v>
      </c>
      <c r="C12" s="46" t="str">
        <f ca="1">IFERROR(__xludf.DUMMYFUNCTION("""COMPUTED_VALUE"""),"SESIONES")</f>
        <v>SESIONES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8">
        <f ca="1">IFERROR(__xludf.DUMMYFUNCTION("""COMPUTED_VALUE"""),15)</f>
        <v>15</v>
      </c>
      <c r="G12" s="48">
        <f ca="1">IFERROR(__xludf.DUMMYFUNCTION("""COMPUTED_VALUE"""),3)</f>
        <v>3</v>
      </c>
      <c r="H12" s="48">
        <f ca="1">IFERROR(__xludf.DUMMYFUNCTION("""COMPUTED_VALUE"""),5)</f>
        <v>5</v>
      </c>
      <c r="I12" s="48">
        <f ca="1">IFERROR(__xludf.DUMMYFUNCTION("""COMPUTED_VALUE"""),3)</f>
        <v>3</v>
      </c>
      <c r="J12" s="48">
        <f ca="1">IFERROR(__xludf.DUMMYFUNCTION("""COMPUTED_VALUE"""),4)</f>
        <v>4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IFERROR(__xludf.DUMMYFUNCTION("""COMPUTED_VALUE"""),15)</f>
        <v>15</v>
      </c>
    </row>
    <row r="13" spans="1:19">
      <c r="A13" s="46" t="str">
        <f ca="1">IFERROR(__xludf.DUMMYFUNCTION("""COMPUTED_VALUE"""),"SEGUIMIENTO DE ACUERDOS")</f>
        <v>SEGUIMIENTO DE ACUERDOS</v>
      </c>
      <c r="B13" s="46">
        <f ca="1">IFERROR(__xludf.DUMMYFUNCTION("""COMPUTED_VALUE"""),80)</f>
        <v>80</v>
      </c>
      <c r="C13" s="46" t="str">
        <f ca="1">IFERROR(__xludf.DUMMYFUNCTION("""COMPUTED_VALUE"""),"ACUERDOS TOMADOS")</f>
        <v>ACUERDOS TOMADOS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8">
        <f ca="1">IFERROR(__xludf.DUMMYFUNCTION("""COMPUTED_VALUE"""),6)</f>
        <v>6</v>
      </c>
      <c r="G13" s="48">
        <f ca="1">IFERROR(__xludf.DUMMYFUNCTION("""COMPUTED_VALUE"""),5)</f>
        <v>5</v>
      </c>
      <c r="H13" s="48">
        <f ca="1">IFERROR(__xludf.DUMMYFUNCTION("""COMPUTED_VALUE"""),0)</f>
        <v>0</v>
      </c>
      <c r="I13" s="48">
        <f ca="1">IFERROR(__xludf.DUMMYFUNCTION("""COMPUTED_VALUE"""),2)</f>
        <v>2</v>
      </c>
      <c r="J13" s="48">
        <f ca="1">IFERROR(__xludf.DUMMYFUNCTION("""COMPUTED_VALUE"""),5)</f>
        <v>5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IFERROR(__xludf.DUMMYFUNCTION("""COMPUTED_VALUE"""),12)</f>
        <v>12</v>
      </c>
    </row>
    <row r="14" spans="1:19">
      <c r="A14" s="46" t="str">
        <f ca="1">IFERROR(__xludf.DUMMYFUNCTION("""COMPUTED_VALUE"""),"ACTUALIZACION DE INSTRUMENTOS PLANEACION")</f>
        <v>ACTUALIZACION DE INSTRUMENTOS PLANEACION</v>
      </c>
      <c r="B14" s="46">
        <f ca="1">IFERROR(__xludf.DUMMYFUNCTION("""COMPUTED_VALUE"""),30)</f>
        <v>30</v>
      </c>
      <c r="C14" s="46" t="str">
        <f ca="1">IFERROR(__xludf.DUMMYFUNCTION("""COMPUTED_VALUE"""),"ACTUALIZACIONES")</f>
        <v>ACTUALIZACIONES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8">
        <f ca="1">IFERROR(__xludf.DUMMYFUNCTION("""COMPUTED_VALUE"""),45)</f>
        <v>45</v>
      </c>
      <c r="G14" s="48">
        <f ca="1">IFERROR(__xludf.DUMMYFUNCTION("""COMPUTED_VALUE"""),2)</f>
        <v>2</v>
      </c>
      <c r="H14" s="48">
        <f ca="1">IFERROR(__xludf.DUMMYFUNCTION("""COMPUTED_VALUE"""),3)</f>
        <v>3</v>
      </c>
      <c r="I14" s="48">
        <f ca="1">IFERROR(__xludf.DUMMYFUNCTION("""COMPUTED_VALUE"""),1)</f>
        <v>1</v>
      </c>
      <c r="J14" s="48">
        <f ca="1">IFERROR(__xludf.DUMMYFUNCTION("""COMPUTED_VALUE"""),3)</f>
        <v>3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IFERROR(__xludf.DUMMYFUNCTION("""COMPUTED_VALUE"""),9)</f>
        <v>9</v>
      </c>
    </row>
    <row r="15" spans="1:19">
      <c r="A15" s="46" t="str">
        <f ca="1">IFERROR(__xludf.DUMMYFUNCTION("""COMPUTED_VALUE"""),"ACTUALIZACION DE INSTRUMENTOS SIG")</f>
        <v>ACTUALIZACION DE INSTRUMENTOS SIG</v>
      </c>
      <c r="B15" s="46">
        <f ca="1">IFERROR(__xludf.DUMMYFUNCTION("""COMPUTED_VALUE"""),400)</f>
        <v>400</v>
      </c>
      <c r="C15" s="46" t="str">
        <f ca="1">IFERROR(__xludf.DUMMYFUNCTION("""COMPUTED_VALUE"""),"ACTUALIZACIONES")</f>
        <v>ACTUALIZACIONES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8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IFERROR(__xludf.DUMMYFUNCTION("""COMPUTED_VALUE"""),"DICTAMINACION DE ESPACIOS EXCLUSIVOS")</f>
        <v>DICTAMINACION DE ESPACIOS EXCLUSIVOS</v>
      </c>
      <c r="B16" s="46">
        <f ca="1">IFERROR(__xludf.DUMMYFUNCTION("""COMPUTED_VALUE"""),900)</f>
        <v>900</v>
      </c>
      <c r="C16" s="46" t="str">
        <f ca="1">IFERROR(__xludf.DUMMYFUNCTION("""COMPUTED_VALUE"""),"DICTAMENES REALIZADOS")</f>
        <v>DICTAMENES REALIZADOS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8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IFERROR(__xludf.DUMMYFUNCTION("""COMPUTED_VALUE"""),"SEGUIMIENTO DE REPORTES ACCESIBILIDAD UNIVERSAL")</f>
        <v>SEGUIMIENTO DE REPORTES ACCESIBILIDAD UNIVERSAL</v>
      </c>
      <c r="B17" s="46">
        <f ca="1">IFERROR(__xludf.DUMMYFUNCTION("""COMPUTED_VALUE"""),1060)</f>
        <v>1060</v>
      </c>
      <c r="C17" s="46" t="str">
        <f ca="1">IFERROR(__xludf.DUMMYFUNCTION("""COMPUTED_VALUE"""),"REPORTES REALIZADOS")</f>
        <v>REPORTES REALIZADOS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8">
        <f ca="1">IFERROR(__xludf.DUMMYFUNCTION("""COMPUTED_VALUE"""),0)</f>
        <v>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IFERROR(__xludf.DUMMYFUNCTION("""COMPUTED_VALUE"""),0)</f>
        <v>0</v>
      </c>
    </row>
    <row r="18" spans="1:19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</row>
    <row r="19" spans="1:19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IFERROR(__xludf.DUMMYFUNCTION("IMPORTRANGE(""hhttps://docs.google.com/spreadsheets/d/1Hcep2QDERifr2pDwF94FUrZnrGAyRgFF3hpZllUAk2A/edit?gid=1342347987#gid=1342347987"",""01!A1:S"")"),"INDICADORES")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IFERROR(__xludf.DUMMYFUNCTION("""COMPUTED_VALUE"""),"CERTIFICACIONES")</f>
        <v>CERTIFICACIONES</v>
      </c>
      <c r="B2" s="46">
        <f ca="1">IFERROR(__xludf.DUMMYFUNCTION("""COMPUTED_VALUE"""),2400)</f>
        <v>2400</v>
      </c>
      <c r="C2" s="46" t="str">
        <f ca="1">IFERROR(__xludf.DUMMYFUNCTION("""COMPUTED_VALUE"""),"CERTIFICACIONES")</f>
        <v>CERTIFICACIONES</v>
      </c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IFERROR(__xludf.DUMMYFUNCTION("""COMPUTED_VALUE"""),43.5416666666666)</f>
        <v>43.5416666666666</v>
      </c>
      <c r="G2" s="48">
        <f ca="1">IFERROR(__xludf.DUMMYFUNCTION("""COMPUTED_VALUE"""),116)</f>
        <v>116</v>
      </c>
      <c r="H2" s="48">
        <f ca="1">IFERROR(__xludf.DUMMYFUNCTION("""COMPUTED_VALUE"""),132)</f>
        <v>132</v>
      </c>
      <c r="I2" s="48">
        <f ca="1">IFERROR(__xludf.DUMMYFUNCTION("""COMPUTED_VALUE"""),87)</f>
        <v>87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IFERROR(__xludf.DUMMYFUNCTION("""COMPUTED_VALUE"""),223)</f>
        <v>223</v>
      </c>
      <c r="N2" s="48">
        <f ca="1">IFERROR(__xludf.DUMMYFUNCTION("""COMPUTED_VALUE"""),245)</f>
        <v>245</v>
      </c>
      <c r="O2" s="48">
        <f ca="1">IFERROR(__xludf.DUMMYFUNCTION("""COMPUTED_VALUE"""),242)</f>
        <v>242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IFERROR(__xludf.DUMMYFUNCTION("""COMPUTED_VALUE"""),1045)</f>
        <v>1045</v>
      </c>
    </row>
    <row r="3" spans="1:19">
      <c r="A3" s="46" t="str">
        <f ca="1">IFERROR(__xludf.DUMMYFUNCTION("""COMPUTED_VALUE"""),"COPIAS")</f>
        <v>COPIAS</v>
      </c>
      <c r="B3" s="46">
        <f ca="1">IFERROR(__xludf.DUMMYFUNCTION("""COMPUTED_VALUE"""),1200)</f>
        <v>1200</v>
      </c>
      <c r="C3" s="46" t="str">
        <f ca="1">IFERROR(__xludf.DUMMYFUNCTION("""COMPUTED_VALUE"""),"COPIAS")</f>
        <v>COPIAS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IFERROR(__xludf.DUMMYFUNCTION("""COMPUTED_VALUE"""),10533.9166666666)</f>
        <v>10533.916666666601</v>
      </c>
      <c r="G3" s="48">
        <f ca="1">IFERROR(__xludf.DUMMYFUNCTION("""COMPUTED_VALUE"""),125870)</f>
        <v>125870</v>
      </c>
      <c r="H3" s="48">
        <f ca="1">IFERROR(__xludf.DUMMYFUNCTION("""COMPUTED_VALUE"""),89)</f>
        <v>89</v>
      </c>
      <c r="I3" s="48">
        <f ca="1">IFERROR(__xludf.DUMMYFUNCTION("""COMPUTED_VALUE"""),89)</f>
        <v>89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IFERROR(__xludf.DUMMYFUNCTION("""COMPUTED_VALUE"""),104)</f>
        <v>104</v>
      </c>
      <c r="N3" s="48">
        <f ca="1">IFERROR(__xludf.DUMMYFUNCTION("""COMPUTED_VALUE"""),130)</f>
        <v>130</v>
      </c>
      <c r="O3" s="48">
        <f ca="1">IFERROR(__xludf.DUMMYFUNCTION("""COMPUTED_VALUE"""),125)</f>
        <v>125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IFERROR(__xludf.DUMMYFUNCTION("""COMPUTED_VALUE"""),126407)</f>
        <v>126407</v>
      </c>
    </row>
    <row r="4" spans="1:19">
      <c r="A4" s="46" t="str">
        <f ca="1">IFERROR(__xludf.DUMMYFUNCTION("""COMPUTED_VALUE"""),"VALUACION Y CARTOGRAFIA")</f>
        <v>VALUACION Y CARTOGRAFIA</v>
      </c>
      <c r="B4" s="46">
        <f ca="1">IFERROR(__xludf.DUMMYFUNCTION("""COMPUTED_VALUE"""),3000)</f>
        <v>3000</v>
      </c>
      <c r="C4" s="46" t="str">
        <f ca="1">IFERROR(__xludf.DUMMYFUNCTION("""COMPUTED_VALUE"""),"VALUACIONES")</f>
        <v>VALUACIONES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IFERROR(__xludf.DUMMYFUNCTION("""COMPUTED_VALUE"""),44.0333333333333)</f>
        <v>44.033333333333303</v>
      </c>
      <c r="G4" s="48">
        <f ca="1">IFERROR(__xludf.DUMMYFUNCTION("""COMPUTED_VALUE"""),174)</f>
        <v>174</v>
      </c>
      <c r="H4" s="48">
        <f ca="1">IFERROR(__xludf.DUMMYFUNCTION("""COMPUTED_VALUE"""),305)</f>
        <v>305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IFERROR(__xludf.DUMMYFUNCTION("""COMPUTED_VALUE"""),221)</f>
        <v>221</v>
      </c>
      <c r="N4" s="48">
        <f ca="1">IFERROR(__xludf.DUMMYFUNCTION("""COMPUTED_VALUE"""),319)</f>
        <v>319</v>
      </c>
      <c r="O4" s="48">
        <f ca="1">IFERROR(__xludf.DUMMYFUNCTION("""COMPUTED_VALUE"""),302)</f>
        <v>302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IFERROR(__xludf.DUMMYFUNCTION("""COMPUTED_VALUE"""),1321)</f>
        <v>1321</v>
      </c>
    </row>
    <row r="5" spans="1:19">
      <c r="A5" s="46" t="str">
        <f ca="1">IFERROR(__xludf.DUMMYFUNCTION("""COMPUTED_VALUE"""),"TRAMITES Y REGISTRO")</f>
        <v>TRAMITES Y REGISTRO</v>
      </c>
      <c r="B5" s="46">
        <f ca="1">IFERROR(__xludf.DUMMYFUNCTION("""COMPUTED_VALUE"""),44400)</f>
        <v>44400</v>
      </c>
      <c r="C5" s="46" t="str">
        <f ca="1">IFERROR(__xludf.DUMMYFUNCTION("""COMPUTED_VALUE"""),"REGISTROS")</f>
        <v>REGISTROS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IFERROR(__xludf.DUMMYFUNCTION("""COMPUTED_VALUE"""),84.0225225225225)</f>
        <v>84.022522522522493</v>
      </c>
      <c r="G5" s="48">
        <f ca="1">IFERROR(__xludf.DUMMYFUNCTION("""COMPUTED_VALUE"""),9068)</f>
        <v>9068</v>
      </c>
      <c r="H5" s="48">
        <f ca="1">IFERROR(__xludf.DUMMYFUNCTION("""COMPUTED_VALUE"""),11160)</f>
        <v>11160</v>
      </c>
      <c r="I5" s="48">
        <f ca="1">IFERROR(__xludf.DUMMYFUNCTION("""COMPUTED_VALUE"""),5910)</f>
        <v>5910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IFERROR(__xludf.DUMMYFUNCTION("""COMPUTED_VALUE"""),3709)</f>
        <v>3709</v>
      </c>
      <c r="N5" s="48">
        <f ca="1">IFERROR(__xludf.DUMMYFUNCTION("""COMPUTED_VALUE"""),3906)</f>
        <v>3906</v>
      </c>
      <c r="O5" s="48">
        <f ca="1">IFERROR(__xludf.DUMMYFUNCTION("""COMPUTED_VALUE"""),3553)</f>
        <v>3553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IFERROR(__xludf.DUMMYFUNCTION("""COMPUTED_VALUE"""),37306)</f>
        <v>37306</v>
      </c>
    </row>
    <row r="6" spans="1:19">
      <c r="A6" s="46" t="str">
        <f ca="1">IFERROR(__xludf.DUMMYFUNCTION("""COMPUTED_VALUE"""),"ENTREGA DE CUENTAS PUBLICAS")</f>
        <v>ENTREGA DE CUENTAS PUBLICAS</v>
      </c>
      <c r="B6" s="46">
        <f ca="1">IFERROR(__xludf.DUMMYFUNCTION("""COMPUTED_VALUE"""),1)</f>
        <v>1</v>
      </c>
      <c r="C6" s="46" t="str">
        <f ca="1">IFERROR(__xludf.DUMMYFUNCTION("""COMPUTED_VALUE"""),"CUENTAS")</f>
        <v>CUENTAS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IFERROR(__xludf.DUMMYFUNCTION("""COMPUTED_VALUE"""),600)</f>
        <v>600</v>
      </c>
      <c r="G6" s="48">
        <f ca="1">IFERROR(__xludf.DUMMYFUNCTION("""COMPUTED_VALUE"""),1)</f>
        <v>1</v>
      </c>
      <c r="H6" s="48">
        <f ca="1">IFERROR(__xludf.DUMMYFUNCTION("""COMPUTED_VALUE"""),1)</f>
        <v>1</v>
      </c>
      <c r="I6" s="48">
        <f ca="1">IFERROR(__xludf.DUMMYFUNCTION("""COMPUTED_VALUE"""),4)</f>
        <v>4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IFERROR(__xludf.DUMMYFUNCTION("""COMPUTED_VALUE"""),6)</f>
        <v>6</v>
      </c>
    </row>
    <row r="7" spans="1:19">
      <c r="A7" s="46" t="str">
        <f ca="1">IFERROR(__xludf.DUMMYFUNCTION("""COMPUTED_VALUE"""),"ATENCION A AUDITORIAS ESTATALES")</f>
        <v>ATENCION A AUDITORIAS ESTATALES</v>
      </c>
      <c r="B7" s="46">
        <f ca="1">IFERROR(__xludf.DUMMYFUNCTION("""COMPUTED_VALUE"""),10)</f>
        <v>10</v>
      </c>
      <c r="C7" s="46" t="str">
        <f ca="1">IFERROR(__xludf.DUMMYFUNCTION("""COMPUTED_VALUE"""),"AUDITORIAS")</f>
        <v>AUDITORIAS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IFERROR(__xludf.DUMMYFUNCTION("""COMPUTED_VALUE"""),60)</f>
        <v>60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IFERROR(__xludf.DUMMYFUNCTION("""COMPUTED_VALUE"""),2)</f>
        <v>2</v>
      </c>
      <c r="N7" s="48">
        <f ca="1">IFERROR(__xludf.DUMMYFUNCTION("""COMPUTED_VALUE"""),2)</f>
        <v>2</v>
      </c>
      <c r="O7" s="48">
        <f ca="1">IFERROR(__xludf.DUMMYFUNCTION("""COMPUTED_VALUE"""),2)</f>
        <v>2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IFERROR(__xludf.DUMMYFUNCTION("""COMPUTED_VALUE"""),6)</f>
        <v>6</v>
      </c>
    </row>
    <row r="8" spans="1:19">
      <c r="A8" s="46" t="str">
        <f ca="1">IFERROR(__xludf.DUMMYFUNCTION("""COMPUTED_VALUE"""),"ATENCION A AUDITORIAS INTERNAS")</f>
        <v>ATENCION A AUDITORIAS INTERNAS</v>
      </c>
      <c r="B8" s="46">
        <f ca="1">IFERROR(__xludf.DUMMYFUNCTION("""COMPUTED_VALUE"""),1)</f>
        <v>1</v>
      </c>
      <c r="C8" s="46" t="str">
        <f ca="1">IFERROR(__xludf.DUMMYFUNCTION("""COMPUTED_VALUE"""),"AUDITORIAS INTERNAS")</f>
        <v>AUDITORIAS INTERNAS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IFERROR(__xludf.DUMMYFUNCTION("""COMPUTED_VALUE"""),"AVANCE PRESUPUESTAL")</f>
        <v>AVANCE PRESUPUESTAL</v>
      </c>
      <c r="B9" s="46">
        <f ca="1">IFERROR(__xludf.DUMMYFUNCTION("""COMPUTED_VALUE"""),1)</f>
        <v>1</v>
      </c>
      <c r="C9" s="46" t="str">
        <f ca="1">IFERROR(__xludf.DUMMYFUNCTION("""COMPUTED_VALUE"""),"AVANCE")</f>
        <v>AVANCE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IFERROR(__xludf.DUMMYFUNCTION("""COMPUTED_VALUE"""),10000)</f>
        <v>10000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IFERROR(__xludf.DUMMYFUNCTION("""COMPUTED_VALUE"""),100)</f>
        <v>100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IFERROR(__xludf.DUMMYFUNCTION("""COMPUTED_VALUE"""),100)</f>
        <v>100</v>
      </c>
    </row>
    <row r="10" spans="1:19">
      <c r="A10" s="46" t="str">
        <f ca="1">IFERROR(__xludf.DUMMYFUNCTION("""COMPUTED_VALUE"""),"AVANCE RECAUDATORIO")</f>
        <v>AVANCE RECAUDATORIO</v>
      </c>
      <c r="B10" s="46">
        <f ca="1">IFERROR(__xludf.DUMMYFUNCTION("""COMPUTED_VALUE"""),1)</f>
        <v>1</v>
      </c>
      <c r="C10" s="46" t="str">
        <f ca="1">IFERROR(__xludf.DUMMYFUNCTION("""COMPUTED_VALUE"""),"AVANCE")</f>
        <v>AVANCE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IFERROR(__xludf.DUMMYFUNCTION("""COMPUTED_VALUE"""),10000)</f>
        <v>10000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IFERROR(__xludf.DUMMYFUNCTION("""COMPUTED_VALUE"""),100)</f>
        <v>100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IFERROR(__xludf.DUMMYFUNCTION("""COMPUTED_VALUE"""),100)</f>
        <v>100</v>
      </c>
    </row>
    <row r="11" spans="1:19">
      <c r="A11" s="46" t="str">
        <f ca="1">IFERROR(__xludf.DUMMYFUNCTION("""COMPUTED_VALUE"""),"ATENCION A AUDITORIAS FEDERALES")</f>
        <v>ATENCION A AUDITORIAS FEDERALES</v>
      </c>
      <c r="B11" s="46">
        <f ca="1">IFERROR(__xludf.DUMMYFUNCTION("""COMPUTED_VALUE"""),12)</f>
        <v>12</v>
      </c>
      <c r="C11" s="46" t="str">
        <f ca="1">IFERROR(__xludf.DUMMYFUNCTION("""COMPUTED_VALUE"""),"AUDITORIAS FEDERALES")</f>
        <v>AUDITORIAS FEDERALES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IFERROR(__xludf.DUMMYFUNCTION("""COMPUTED_VALUE"""),75)</f>
        <v>75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IFERROR(__xludf.DUMMYFUNCTION("""COMPUTED_VALUE"""),3)</f>
        <v>3</v>
      </c>
      <c r="N11" s="48">
        <f ca="1">IFERROR(__xludf.DUMMYFUNCTION("""COMPUTED_VALUE"""),3)</f>
        <v>3</v>
      </c>
      <c r="O11" s="48">
        <f ca="1">IFERROR(__xludf.DUMMYFUNCTION("""COMPUTED_VALUE"""),3)</f>
        <v>3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IFERROR(__xludf.DUMMYFUNCTION("""COMPUTED_VALUE"""),9)</f>
        <v>9</v>
      </c>
    </row>
    <row r="12" spans="1:19">
      <c r="A12" s="46" t="str">
        <f ca="1">IFERROR(__xludf.DUMMYFUNCTION("""COMPUTED_VALUE"""),"NOTIFICACIONES AGUA")</f>
        <v>NOTIFICACIONES AGUA</v>
      </c>
      <c r="B12" s="46">
        <f ca="1">IFERROR(__xludf.DUMMYFUNCTION("""COMPUTED_VALUE"""),1000)</f>
        <v>1000</v>
      </c>
      <c r="C12" s="46" t="str">
        <f ca="1">IFERROR(__xludf.DUMMYFUNCTION("""COMPUTED_VALUE"""),"NOTIFICACIONES")</f>
        <v>NOTIFICACIONES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IFERROR(__xludf.DUMMYFUNCTION("""COMPUTED_VALUE"""),98.7)</f>
        <v>98.7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IFERROR(__xludf.DUMMYFUNCTION("""COMPUTED_VALUE"""),987)</f>
        <v>987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IFERROR(__xludf.DUMMYFUNCTION("""COMPUTED_VALUE"""),987)</f>
        <v>987</v>
      </c>
    </row>
    <row r="13" spans="1:19">
      <c r="A13" s="46" t="str">
        <f ca="1">IFERROR(__xludf.DUMMYFUNCTION("""COMPUTED_VALUE"""),"NOTIFICACIONES PREDIAL")</f>
        <v>NOTIFICACIONES PREDIAL</v>
      </c>
      <c r="B13" s="46">
        <f ca="1">IFERROR(__xludf.DUMMYFUNCTION("""COMPUTED_VALUE"""),300)</f>
        <v>300</v>
      </c>
      <c r="C13" s="46" t="str">
        <f ca="1">IFERROR(__xludf.DUMMYFUNCTION("""COMPUTED_VALUE"""),"NOTIFICACIONES")</f>
        <v>NOTIFICACIONES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IFERROR(__xludf.DUMMYFUNCTION("""COMPUTED_VALUE"""),"DETECCION TOMAS CLANDESTINAS")</f>
        <v>DETECCION TOMAS CLANDESTINAS</v>
      </c>
      <c r="B14" s="46">
        <f ca="1">IFERROR(__xludf.DUMMYFUNCTION("""COMPUTED_VALUE"""),120)</f>
        <v>120</v>
      </c>
      <c r="C14" s="46" t="str">
        <f ca="1">IFERROR(__xludf.DUMMYFUNCTION("""COMPUTED_VALUE"""),"TOMAS CLANDESTINAS ")</f>
        <v xml:space="preserve">TOMAS CLANDESTINAS 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IFERROR(__xludf.DUMMYFUNCTION("""COMPUTED_VALUE"""),161.666666666666)</f>
        <v>161.666666666666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IFERROR(__xludf.DUMMYFUNCTION("""COMPUTED_VALUE"""),50)</f>
        <v>50</v>
      </c>
      <c r="K14" s="48">
        <f ca="1">IFERROR(__xludf.DUMMYFUNCTION("""COMPUTED_VALUE"""),50)</f>
        <v>50</v>
      </c>
      <c r="L14" s="48">
        <f ca="1">IFERROR(__xludf.DUMMYFUNCTION("""COMPUTED_VALUE"""),50)</f>
        <v>50</v>
      </c>
      <c r="M14" s="48">
        <f ca="1">IFERROR(__xludf.DUMMYFUNCTION("""COMPUTED_VALUE"""),11)</f>
        <v>11</v>
      </c>
      <c r="N14" s="48">
        <f ca="1">IFERROR(__xludf.DUMMYFUNCTION("""COMPUTED_VALUE"""),32)</f>
        <v>32</v>
      </c>
      <c r="O14" s="48">
        <f ca="1">IFERROR(__xludf.DUMMYFUNCTION("""COMPUTED_VALUE"""),1)</f>
        <v>1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IFERROR(__xludf.DUMMYFUNCTION("""COMPUTED_VALUE"""),194)</f>
        <v>194</v>
      </c>
    </row>
    <row r="15" spans="1:19">
      <c r="A15" s="46" t="str">
        <f ca="1">IFERROR(__xludf.DUMMYFUNCTION("""COMPUTED_VALUE"""),"INVITACIONES DE PAGO")</f>
        <v>INVITACIONES DE PAGO</v>
      </c>
      <c r="B15" s="46">
        <f ca="1">IFERROR(__xludf.DUMMYFUNCTION("""COMPUTED_VALUE"""),1200)</f>
        <v>1200</v>
      </c>
      <c r="C15" s="46" t="str">
        <f ca="1">IFERROR(__xludf.DUMMYFUNCTION("""COMPUTED_VALUE"""),"INVITACIONES")</f>
        <v>INVITACIONES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IFERROR(__xludf.DUMMYFUNCTION("""COMPUTED_VALUE"""),294.416666666666)</f>
        <v>294.416666666666</v>
      </c>
      <c r="G15" s="48">
        <f ca="1">IFERROR(__xludf.DUMMYFUNCTION("""COMPUTED_VALUE"""),450)</f>
        <v>450</v>
      </c>
      <c r="H15" s="48">
        <f ca="1">IFERROR(__xludf.DUMMYFUNCTION("""COMPUTED_VALUE"""),400)</f>
        <v>400</v>
      </c>
      <c r="I15" s="48">
        <f ca="1">IFERROR(__xludf.DUMMYFUNCTION("""COMPUTED_VALUE"""),510)</f>
        <v>510</v>
      </c>
      <c r="J15" s="48">
        <f ca="1">IFERROR(__xludf.DUMMYFUNCTION("""COMPUTED_VALUE"""),425)</f>
        <v>425</v>
      </c>
      <c r="K15" s="48">
        <f ca="1">IFERROR(__xludf.DUMMYFUNCTION("""COMPUTED_VALUE"""),500)</f>
        <v>500</v>
      </c>
      <c r="L15" s="48">
        <f ca="1">IFERROR(__xludf.DUMMYFUNCTION("""COMPUTED_VALUE"""),575)</f>
        <v>575</v>
      </c>
      <c r="M15" s="48">
        <f ca="1">IFERROR(__xludf.DUMMYFUNCTION("""COMPUTED_VALUE"""),237)</f>
        <v>237</v>
      </c>
      <c r="N15" s="48">
        <f ca="1">IFERROR(__xludf.DUMMYFUNCTION("""COMPUTED_VALUE"""),436)</f>
        <v>436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IFERROR(__xludf.DUMMYFUNCTION("""COMPUTED_VALUE"""),3533)</f>
        <v>3533</v>
      </c>
    </row>
    <row r="16" spans="1:19">
      <c r="A16" s="46" t="str">
        <f ca="1">IFERROR(__xludf.DUMMYFUNCTION("""COMPUTED_VALUE"""),"SOPORTES TECNICOS")</f>
        <v>SOPORTES TECNICOS</v>
      </c>
      <c r="B16" s="46">
        <f ca="1">IFERROR(__xludf.DUMMYFUNCTION("""COMPUTED_VALUE"""),1320)</f>
        <v>1320</v>
      </c>
      <c r="C16" s="46" t="str">
        <f ca="1">IFERROR(__xludf.DUMMYFUNCTION("""COMPUTED_VALUE"""),"SOPORTES")</f>
        <v>SOPORTES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IFERROR(__xludf.DUMMYFUNCTION("""COMPUTED_VALUE"""),29.8484848484848)</f>
        <v>29.848484848484802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IFERROR(__xludf.DUMMYFUNCTION("""COMPUTED_VALUE"""),125)</f>
        <v>125</v>
      </c>
      <c r="N16" s="48">
        <f ca="1">IFERROR(__xludf.DUMMYFUNCTION("""COMPUTED_VALUE"""),131)</f>
        <v>131</v>
      </c>
      <c r="O16" s="48">
        <f ca="1">IFERROR(__xludf.DUMMYFUNCTION("""COMPUTED_VALUE"""),138)</f>
        <v>138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IFERROR(__xludf.DUMMYFUNCTION("""COMPUTED_VALUE"""),394)</f>
        <v>394</v>
      </c>
    </row>
    <row r="17" spans="1:19">
      <c r="A17" s="46" t="str">
        <f ca="1">IFERROR(__xludf.DUMMYFUNCTION("""COMPUTED_VALUE"""),"LICENCIAS NUEVAS")</f>
        <v>LICENCIAS NUEVAS</v>
      </c>
      <c r="B17" s="46">
        <f ca="1">IFERROR(__xludf.DUMMYFUNCTION("""COMPUTED_VALUE"""),550)</f>
        <v>550</v>
      </c>
      <c r="C17" s="46" t="str">
        <f ca="1">IFERROR(__xludf.DUMMYFUNCTION("""COMPUTED_VALUE"""),"NUEVAS LICENCIAS")</f>
        <v>NUEVAS LICENCIAS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IFERROR(__xludf.DUMMYFUNCTION("""COMPUTED_VALUE"""),136.545454545454)</f>
        <v>136.54545454545399</v>
      </c>
      <c r="G17" s="48">
        <f ca="1">IFERROR(__xludf.DUMMYFUNCTION("""COMPUTED_VALUE"""),87)</f>
        <v>87</v>
      </c>
      <c r="H17" s="48">
        <f ca="1">IFERROR(__xludf.DUMMYFUNCTION("""COMPUTED_VALUE"""),188)</f>
        <v>188</v>
      </c>
      <c r="I17" s="48">
        <f ca="1">IFERROR(__xludf.DUMMYFUNCTION("""COMPUTED_VALUE"""),132)</f>
        <v>132</v>
      </c>
      <c r="J17" s="48">
        <f ca="1">IFERROR(__xludf.DUMMYFUNCTION("""COMPUTED_VALUE"""),35)</f>
        <v>35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IFERROR(__xludf.DUMMYFUNCTION("""COMPUTED_VALUE"""),173)</f>
        <v>173</v>
      </c>
      <c r="N17" s="48">
        <f ca="1">IFERROR(__xludf.DUMMYFUNCTION("""COMPUTED_VALUE"""),136)</f>
        <v>136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IFERROR(__xludf.DUMMYFUNCTION("""COMPUTED_VALUE"""),751)</f>
        <v>751</v>
      </c>
    </row>
    <row r="18" spans="1:19">
      <c r="A18" s="46" t="str">
        <f ca="1">IFERROR(__xludf.DUMMYFUNCTION("""COMPUTED_VALUE"""),"REFRENDOS")</f>
        <v>REFRENDOS</v>
      </c>
      <c r="B18" s="46">
        <f ca="1">IFERROR(__xludf.DUMMYFUNCTION("""COMPUTED_VALUE"""),880)</f>
        <v>880</v>
      </c>
      <c r="C18" s="46" t="str">
        <f ca="1">IFERROR(__xludf.DUMMYFUNCTION("""COMPUTED_VALUE"""),"REFRENDOS")</f>
        <v>REFRENDOS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IFERROR(__xludf.DUMMYFUNCTION("""COMPUTED_VALUE"""),5.68181818181818)</f>
        <v>5.6818181818181799</v>
      </c>
      <c r="G18" s="48">
        <f ca="1">IFERROR(__xludf.DUMMYFUNCTION("""COMPUTED_VALUE"""),2)</f>
        <v>2</v>
      </c>
      <c r="H18" s="48">
        <f ca="1">IFERROR(__xludf.DUMMYFUNCTION("""COMPUTED_VALUE"""),3)</f>
        <v>3</v>
      </c>
      <c r="I18" s="48">
        <f ca="1">IFERROR(__xludf.DUMMYFUNCTION("""COMPUTED_VALUE"""),2)</f>
        <v>2</v>
      </c>
      <c r="J18" s="48">
        <f ca="1">IFERROR(__xludf.DUMMYFUNCTION("""COMPUTED_VALUE"""),34)</f>
        <v>34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IFERROR(__xludf.DUMMYFUNCTION("""COMPUTED_VALUE"""),3)</f>
        <v>3</v>
      </c>
      <c r="N18" s="48">
        <f ca="1">IFERROR(__xludf.DUMMYFUNCTION("""COMPUTED_VALUE"""),6)</f>
        <v>6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IFERROR(__xludf.DUMMYFUNCTION("""COMPUTED_VALUE"""),50)</f>
        <v>50</v>
      </c>
    </row>
    <row r="19" spans="1:19">
      <c r="A19" s="46" t="str">
        <f ca="1">IFERROR(__xludf.DUMMYFUNCTION("""COMPUTED_VALUE"""),"CAMBIOS DE PROPIETARIO")</f>
        <v>CAMBIOS DE PROPIETARIO</v>
      </c>
      <c r="B19" s="46">
        <f ca="1">IFERROR(__xludf.DUMMYFUNCTION("""COMPUTED_VALUE"""),1100)</f>
        <v>1100</v>
      </c>
      <c r="C19" s="46" t="str">
        <f ca="1">IFERROR(__xludf.DUMMYFUNCTION("""COMPUTED_VALUE"""),"CAMBIOS")</f>
        <v>CAMBIOS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IFERROR(__xludf.DUMMYFUNCTION("""COMPUTED_VALUE"""),6.27272727272727)</f>
        <v>6.2727272727272698</v>
      </c>
      <c r="G19" s="48">
        <f ca="1">IFERROR(__xludf.DUMMYFUNCTION("""COMPUTED_VALUE"""),2)</f>
        <v>2</v>
      </c>
      <c r="H19" s="48">
        <f ca="1">IFERROR(__xludf.DUMMYFUNCTION("""COMPUTED_VALUE"""),0)</f>
        <v>0</v>
      </c>
      <c r="I19" s="48">
        <f ca="1">IFERROR(__xludf.DUMMYFUNCTION("""COMPUTED_VALUE"""),2)</f>
        <v>2</v>
      </c>
      <c r="J19" s="48">
        <f ca="1">IFERROR(__xludf.DUMMYFUNCTION("""COMPUTED_VALUE"""),56)</f>
        <v>56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IFERROR(__xludf.DUMMYFUNCTION("""COMPUTED_VALUE"""),3)</f>
        <v>3</v>
      </c>
      <c r="N19" s="48">
        <f ca="1">IFERROR(__xludf.DUMMYFUNCTION("""COMPUTED_VALUE"""),6)</f>
        <v>6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IFERROR(__xludf.DUMMYFUNCTION("""COMPUTED_VALUE"""),69)</f>
        <v>69</v>
      </c>
    </row>
    <row r="20" spans="1:19">
      <c r="A20" s="46" t="str">
        <f ca="1">IFERROR(__xludf.DUMMYFUNCTION("""COMPUTED_VALUE"""),"CAMBIOS DE DOMICILIO")</f>
        <v>CAMBIOS DE DOMICILIO</v>
      </c>
      <c r="B20" s="46">
        <f ca="1">IFERROR(__xludf.DUMMYFUNCTION("""COMPUTED_VALUE"""),1200)</f>
        <v>1200</v>
      </c>
      <c r="C20" s="46" t="str">
        <f ca="1">IFERROR(__xludf.DUMMYFUNCTION("""COMPUTED_VALUE"""),"CAMBIOS")</f>
        <v>CAMBIOS</v>
      </c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IFERROR(__xludf.DUMMYFUNCTION("""COMPUTED_VALUE"""),5.5)</f>
        <v>5.5</v>
      </c>
      <c r="G20" s="48">
        <f ca="1">IFERROR(__xludf.DUMMYFUNCTION("""COMPUTED_VALUE"""),2)</f>
        <v>2</v>
      </c>
      <c r="H20" s="48">
        <f ca="1">IFERROR(__xludf.DUMMYFUNCTION("""COMPUTED_VALUE"""),3)</f>
        <v>3</v>
      </c>
      <c r="I20" s="48">
        <f ca="1">IFERROR(__xludf.DUMMYFUNCTION("""COMPUTED_VALUE"""),2)</f>
        <v>2</v>
      </c>
      <c r="J20" s="48">
        <f ca="1">IFERROR(__xludf.DUMMYFUNCTION("""COMPUTED_VALUE"""),56)</f>
        <v>56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IFERROR(__xludf.DUMMYFUNCTION("""COMPUTED_VALUE"""),3)</f>
        <v>3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IFERROR(__xludf.DUMMYFUNCTION("""COMPUTED_VALUE"""),66)</f>
        <v>66</v>
      </c>
    </row>
    <row r="21" spans="1:19">
      <c r="A21" s="46" t="str">
        <f ca="1">IFERROR(__xludf.DUMMYFUNCTION("""COMPUTED_VALUE"""),"LICENCIAS NUEVAS GIRO RESTRINGIDO")</f>
        <v>LICENCIAS NUEVAS GIRO RESTRINGIDO</v>
      </c>
      <c r="B21" s="46">
        <f ca="1">IFERROR(__xludf.DUMMYFUNCTION("""COMPUTED_VALUE"""),40)</f>
        <v>40</v>
      </c>
      <c r="C21" s="46" t="str">
        <f ca="1">IFERROR(__xludf.DUMMYFUNCTION("""COMPUTED_VALUE"""),"NUEVAS LICENCIAS")</f>
        <v>NUEVAS LICENCIAS</v>
      </c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IFERROR(__xludf.DUMMYFUNCTION("""COMPUTED_VALUE"""),15)</f>
        <v>15</v>
      </c>
      <c r="G21" s="48">
        <f ca="1">IFERROR(__xludf.DUMMYFUNCTION("""COMPUTED_VALUE"""),2)</f>
        <v>2</v>
      </c>
      <c r="H21" s="48">
        <f ca="1">IFERROR(__xludf.DUMMYFUNCTION("""COMPUTED_VALUE"""),0)</f>
        <v>0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IFERROR(__xludf.DUMMYFUNCTION("""COMPUTED_VALUE"""),2)</f>
        <v>2</v>
      </c>
      <c r="N21" s="48">
        <f ca="1">IFERROR(__xludf.DUMMYFUNCTION("""COMPUTED_VALUE"""),2)</f>
        <v>2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IFERROR(__xludf.DUMMYFUNCTION("""COMPUTED_VALUE"""),6)</f>
        <v>6</v>
      </c>
    </row>
    <row r="22" spans="1:19">
      <c r="A22" s="46" t="str">
        <f ca="1">IFERROR(__xludf.DUMMYFUNCTION("""COMPUTED_VALUE"""),"REFRENDOS GIRO RESTRINGIDO")</f>
        <v>REFRENDOS GIRO RESTRINGIDO</v>
      </c>
      <c r="B22" s="46">
        <f ca="1">IFERROR(__xludf.DUMMYFUNCTION("""COMPUTED_VALUE"""),1400)</f>
        <v>1400</v>
      </c>
      <c r="C22" s="46" t="str">
        <f ca="1">IFERROR(__xludf.DUMMYFUNCTION("""COMPUTED_VALUE"""),"REFRENDOS")</f>
        <v>REFRENDOS</v>
      </c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IFERROR(__xludf.DUMMYFUNCTION("""COMPUTED_VALUE"""),7.85714285714285)</f>
        <v>7.8571428571428497</v>
      </c>
      <c r="G22" s="48">
        <f ca="1">IFERROR(__xludf.DUMMYFUNCTION("""COMPUTED_VALUE"""),3)</f>
        <v>3</v>
      </c>
      <c r="H22" s="48">
        <f ca="1">IFERROR(__xludf.DUMMYFUNCTION("""COMPUTED_VALUE"""),9)</f>
        <v>9</v>
      </c>
      <c r="I22" s="48">
        <f ca="1">IFERROR(__xludf.DUMMYFUNCTION("""COMPUTED_VALUE"""),6)</f>
        <v>6</v>
      </c>
      <c r="J22" s="48">
        <f ca="1">IFERROR(__xludf.DUMMYFUNCTION("""COMPUTED_VALUE"""),8)</f>
        <v>8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IFERROR(__xludf.DUMMYFUNCTION("""COMPUTED_VALUE"""),42)</f>
        <v>42</v>
      </c>
      <c r="N22" s="48">
        <f ca="1">IFERROR(__xludf.DUMMYFUNCTION("""COMPUTED_VALUE"""),42)</f>
        <v>42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IFERROR(__xludf.DUMMYFUNCTION("""COMPUTED_VALUE"""),110)</f>
        <v>110</v>
      </c>
    </row>
    <row r="23" spans="1:19">
      <c r="A23" s="46" t="str">
        <f ca="1">IFERROR(__xludf.DUMMYFUNCTION("""COMPUTED_VALUE"""),"CAMBIOS DE PROPIETARIO GIRO RESTRINGIDO")</f>
        <v>CAMBIOS DE PROPIETARIO GIRO RESTRINGIDO</v>
      </c>
      <c r="B23" s="46">
        <f ca="1">IFERROR(__xludf.DUMMYFUNCTION("""COMPUTED_VALUE"""),12)</f>
        <v>12</v>
      </c>
      <c r="C23" s="46" t="str">
        <f ca="1">IFERROR(__xludf.DUMMYFUNCTION("""COMPUTED_VALUE"""),"CAMBIOS")</f>
        <v>CAMBIOS</v>
      </c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IFERROR(__xludf.DUMMYFUNCTION("""COMPUTED_VALUE"""),166.666666666666)</f>
        <v>166.666666666666</v>
      </c>
      <c r="G23" s="48">
        <f ca="1">IFERROR(__xludf.DUMMYFUNCTION("""COMPUTED_VALUE"""),0)</f>
        <v>0</v>
      </c>
      <c r="H23" s="48">
        <f ca="1">IFERROR(__xludf.DUMMYFUNCTION("""COMPUTED_VALUE"""),1)</f>
        <v>1</v>
      </c>
      <c r="I23" s="48">
        <f ca="1">IFERROR(__xludf.DUMMYFUNCTION("""COMPUTED_VALUE"""),1)</f>
        <v>1</v>
      </c>
      <c r="J23" s="48">
        <f ca="1">IFERROR(__xludf.DUMMYFUNCTION("""COMPUTED_VALUE"""),8)</f>
        <v>8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IFERROR(__xludf.DUMMYFUNCTION("""COMPUTED_VALUE"""),4)</f>
        <v>4</v>
      </c>
      <c r="N23" s="48">
        <f ca="1">IFERROR(__xludf.DUMMYFUNCTION("""COMPUTED_VALUE"""),6)</f>
        <v>6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IFERROR(__xludf.DUMMYFUNCTION("""COMPUTED_VALUE"""),0)</f>
        <v>0</v>
      </c>
      <c r="S23" s="48">
        <f ca="1">IFERROR(__xludf.DUMMYFUNCTION("""COMPUTED_VALUE"""),20)</f>
        <v>20</v>
      </c>
    </row>
    <row r="24" spans="1:19">
      <c r="A24" s="46" t="str">
        <f ca="1">IFERROR(__xludf.DUMMYFUNCTION("""COMPUTED_VALUE"""),"NUMERO TOTAL DE COMERCIO AMBULANTE")</f>
        <v>NUMERO TOTAL DE COMERCIO AMBULANTE</v>
      </c>
      <c r="B24" s="46">
        <f ca="1">IFERROR(__xludf.DUMMYFUNCTION("""COMPUTED_VALUE"""),320)</f>
        <v>320</v>
      </c>
      <c r="C24" s="46" t="str">
        <f ca="1">IFERROR(__xludf.DUMMYFUNCTION("""COMPUTED_VALUE"""),"COMERCIOS AMBULANTES")</f>
        <v>COMERCIOS AMBULANTES</v>
      </c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IFERROR(__xludf.DUMMYFUNCTION("""COMPUTED_VALUE"""),112.5)</f>
        <v>112.5</v>
      </c>
      <c r="G24" s="48">
        <f ca="1">IFERROR(__xludf.DUMMYFUNCTION("""COMPUTED_VALUE"""),224)</f>
        <v>224</v>
      </c>
      <c r="H24" s="48">
        <f ca="1">IFERROR(__xludf.DUMMYFUNCTION("""COMPUTED_VALUE"""),56)</f>
        <v>56</v>
      </c>
      <c r="I24" s="48">
        <f ca="1">IFERROR(__xludf.DUMMYFUNCTION("""COMPUTED_VALUE"""),23)</f>
        <v>23</v>
      </c>
      <c r="J24" s="48">
        <f ca="1">IFERROR(__xludf.DUMMYFUNCTION("""COMPUTED_VALUE"""),56)</f>
        <v>56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IFERROR(__xludf.DUMMYFUNCTION("""COMPUTED_VALUE"""),1)</f>
        <v>1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IFERROR(__xludf.DUMMYFUNCTION("""COMPUTED_VALUE"""),360)</f>
        <v>360</v>
      </c>
    </row>
    <row r="25" spans="1:19">
      <c r="A25" s="46" t="str">
        <f ca="1">IFERROR(__xludf.DUMMYFUNCTION("""COMPUTED_VALUE"""),"ASIGANCION DE ESPACIOS COMERCIO INFORMAL")</f>
        <v>ASIGANCION DE ESPACIOS COMERCIO INFORMAL</v>
      </c>
      <c r="B25" s="46">
        <f ca="1">IFERROR(__xludf.DUMMYFUNCTION("""COMPUTED_VALUE"""),15)</f>
        <v>15</v>
      </c>
      <c r="C25" s="46" t="str">
        <f ca="1">IFERROR(__xludf.DUMMYFUNCTION("""COMPUTED_VALUE"""),"ESPACIOS")</f>
        <v>ESPACIOS</v>
      </c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IFERROR(__xludf.DUMMYFUNCTION("""COMPUTED_VALUE"""),53.3333333333333)</f>
        <v>53.3333333333333</v>
      </c>
      <c r="G25" s="48">
        <f ca="1">IFERROR(__xludf.DUMMYFUNCTION("""COMPUTED_VALUE"""),0)</f>
        <v>0</v>
      </c>
      <c r="H25" s="48">
        <f ca="1">IFERROR(__xludf.DUMMYFUNCTION("""COMPUTED_VALUE"""),0)</f>
        <v>0</v>
      </c>
      <c r="I25" s="48">
        <f ca="1">IFERROR(__xludf.DUMMYFUNCTION("""COMPUTED_VALUE"""),0)</f>
        <v>0</v>
      </c>
      <c r="J25" s="48">
        <f ca="1">IFERROR(__xludf.DUMMYFUNCTION("""COMPUTED_VALUE"""),2)</f>
        <v>2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IFERROR(__xludf.DUMMYFUNCTION("""COMPUTED_VALUE"""),6)</f>
        <v>6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IFERROR(__xludf.DUMMYFUNCTION("""COMPUTED_VALUE"""),8)</f>
        <v>8</v>
      </c>
    </row>
    <row r="26" spans="1:19">
      <c r="A26" s="46" t="str">
        <f ca="1">IFERROR(__xludf.DUMMYFUNCTION("""COMPUTED_VALUE"""),"CAMBIOS DE DOMICILIO GIRO RESTRINGIDO")</f>
        <v>CAMBIOS DE DOMICILIO GIRO RESTRINGIDO</v>
      </c>
      <c r="B26" s="46">
        <f ca="1">IFERROR(__xludf.DUMMYFUNCTION("""COMPUTED_VALUE"""),300)</f>
        <v>300</v>
      </c>
      <c r="C26" s="46" t="str">
        <f ca="1">IFERROR(__xludf.DUMMYFUNCTION("""COMPUTED_VALUE"""),"CAMBIOS")</f>
        <v>CAMBIOS</v>
      </c>
      <c r="D26" s="46" t="str">
        <f ca="1">IFERROR(__xludf.DUMMYFUNCTION("""COMPUTED_VALUE"""),"ASCENDENTE")</f>
        <v>ASCENDENTE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IFERROR(__xludf.DUMMYFUNCTION("""COMPUTED_VALUE"""),4)</f>
        <v>4</v>
      </c>
      <c r="G26" s="48">
        <f ca="1">IFERROR(__xludf.DUMMYFUNCTION("""COMPUTED_VALUE"""),0)</f>
        <v>0</v>
      </c>
      <c r="H26" s="48">
        <f ca="1">IFERROR(__xludf.DUMMYFUNCTION("""COMPUTED_VALUE"""),1)</f>
        <v>1</v>
      </c>
      <c r="I26" s="48">
        <f ca="1">IFERROR(__xludf.DUMMYFUNCTION("""COMPUTED_VALUE"""),1)</f>
        <v>1</v>
      </c>
      <c r="J26" s="48">
        <f ca="1">IFERROR(__xludf.DUMMYFUNCTION("""COMPUTED_VALUE"""),0)</f>
        <v>0</v>
      </c>
      <c r="K26" s="48">
        <f ca="1">IFERROR(__xludf.DUMMYFUNCTION("""COMPUTED_VALUE"""),0)</f>
        <v>0</v>
      </c>
      <c r="L26" s="48">
        <f ca="1">IFERROR(__xludf.DUMMYFUNCTION("""COMPUTED_VALUE"""),0)</f>
        <v>0</v>
      </c>
      <c r="M26" s="48">
        <f ca="1">IFERROR(__xludf.DUMMYFUNCTION("""COMPUTED_VALUE"""),4)</f>
        <v>4</v>
      </c>
      <c r="N26" s="48">
        <f ca="1">IFERROR(__xludf.DUMMYFUNCTION("""COMPUTED_VALUE"""),6)</f>
        <v>6</v>
      </c>
      <c r="O26" s="48">
        <f ca="1">IFERROR(__xludf.DUMMYFUNCTION("""COMPUTED_VALUE"""),0)</f>
        <v>0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IFERROR(__xludf.DUMMYFUNCTION("""COMPUTED_VALUE"""),12)</f>
        <v>12</v>
      </c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IFERROR(__xludf.DUMMYFUNCTION("IMPORTRANGE(""hhttps://docs.google.com/spreadsheets/d/1Hcep2QDERifr2pDwF94FUrZnrGAyRgFF3hpZllUAk2A/edit?gid=1342347987#gid=1342347987"",""02!A1:S"")"),"INDICADORES")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IFERROR(__xludf.DUMMYFUNCTION("""COMPUTED_VALUE"""),"CERTIFICACIONES")</f>
        <v>CERTIFICACIONES</v>
      </c>
      <c r="B2" s="46">
        <f ca="1">IFERROR(__xludf.DUMMYFUNCTION("""COMPUTED_VALUE"""),1)</f>
        <v>1</v>
      </c>
      <c r="C2" s="46" t="str">
        <f ca="1">IFERROR(__xludf.DUMMYFUNCTION("""COMPUTED_VALUE"""),"CERTIFICACIONES")</f>
        <v>CERTIFICACIONES</v>
      </c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IFERROR(__xludf.DUMMYFUNCTION("""COMPUTED_VALUE"""),0)</f>
        <v>0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IFERROR(__xludf.DUMMYFUNCTION("""COMPUTED_VALUE"""),0)</f>
        <v>0</v>
      </c>
    </row>
    <row r="3" spans="1:19">
      <c r="A3" s="46" t="str">
        <f ca="1">IFERROR(__xludf.DUMMYFUNCTION("""COMPUTED_VALUE"""),"COPIAS")</f>
        <v>COPIAS</v>
      </c>
      <c r="B3" s="46">
        <f ca="1">IFERROR(__xludf.DUMMYFUNCTION("""COMPUTED_VALUE"""),1)</f>
        <v>1</v>
      </c>
      <c r="C3" s="46" t="str">
        <f ca="1">IFERROR(__xludf.DUMMYFUNCTION("""COMPUTED_VALUE"""),"COPIAS")</f>
        <v>COPIAS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IFERROR(__xludf.DUMMYFUNCTION("""COMPUTED_VALUE"""),0)</f>
        <v>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IFERROR(__xludf.DUMMYFUNCTION("""COMPUTED_VALUE"""),0)</f>
        <v>0</v>
      </c>
    </row>
    <row r="4" spans="1:19">
      <c r="A4" s="46" t="str">
        <f ca="1">IFERROR(__xludf.DUMMYFUNCTION("""COMPUTED_VALUE"""),"VALUACION Y CARTOGRAFIA")</f>
        <v>VALUACION Y CARTOGRAFIA</v>
      </c>
      <c r="B4" s="46">
        <f ca="1">IFERROR(__xludf.DUMMYFUNCTION("""COMPUTED_VALUE"""),1)</f>
        <v>1</v>
      </c>
      <c r="C4" s="46" t="str">
        <f ca="1">IFERROR(__xludf.DUMMYFUNCTION("""COMPUTED_VALUE"""),"VALUACIONES")</f>
        <v>VALUACIONES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IFERROR(__xludf.DUMMYFUNCTION("""COMPUTED_VALUE"""),0)</f>
        <v>0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IFERROR(__xludf.DUMMYFUNCTION("""COMPUTED_VALUE"""),0)</f>
        <v>0</v>
      </c>
    </row>
    <row r="5" spans="1:19">
      <c r="A5" s="46" t="str">
        <f ca="1">IFERROR(__xludf.DUMMYFUNCTION("""COMPUTED_VALUE"""),"TRAMITES Y REGISTRO")</f>
        <v>TRAMITES Y REGISTRO</v>
      </c>
      <c r="B5" s="46">
        <f ca="1">IFERROR(__xludf.DUMMYFUNCTION("""COMPUTED_VALUE"""),1)</f>
        <v>1</v>
      </c>
      <c r="C5" s="46" t="str">
        <f ca="1">IFERROR(__xludf.DUMMYFUNCTION("""COMPUTED_VALUE"""),"REGISTROS")</f>
        <v>REGISTROS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IFERROR(__xludf.DUMMYFUNCTION("""COMPUTED_VALUE"""),0)</f>
        <v>0</v>
      </c>
      <c r="G5" s="48">
        <f ca="1">IFERROR(__xludf.DUMMYFUNCTION("""COMPUTED_VALUE"""),0)</f>
        <v>0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IFERROR(__xludf.DUMMYFUNCTION("""COMPUTED_VALUE"""),0)</f>
        <v>0</v>
      </c>
    </row>
    <row r="6" spans="1:19">
      <c r="A6" s="46" t="str">
        <f ca="1">IFERROR(__xludf.DUMMYFUNCTION("""COMPUTED_VALUE"""),"ENTREGA DE CUENTAS PUBLICAS")</f>
        <v>ENTREGA DE CUENTAS PUBLICAS</v>
      </c>
      <c r="B6" s="46">
        <f ca="1">IFERROR(__xludf.DUMMYFUNCTION("""COMPUTED_VALUE"""),1)</f>
        <v>1</v>
      </c>
      <c r="C6" s="46" t="str">
        <f ca="1">IFERROR(__xludf.DUMMYFUNCTION("""COMPUTED_VALUE"""),"CUENTAS")</f>
        <v>CUENTAS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IFERROR(__xludf.DUMMYFUNCTION("""COMPUTED_VALUE"""),0)</f>
        <v>0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IFERROR(__xludf.DUMMYFUNCTION("""COMPUTED_VALUE"""),0)</f>
        <v>0</v>
      </c>
    </row>
    <row r="7" spans="1:19">
      <c r="A7" s="46" t="str">
        <f ca="1">IFERROR(__xludf.DUMMYFUNCTION("""COMPUTED_VALUE"""),"ATENCION A AUDITORIAS ESTATALES")</f>
        <v>ATENCION A AUDITORIAS ESTATALES</v>
      </c>
      <c r="B7" s="46">
        <f ca="1">IFERROR(__xludf.DUMMYFUNCTION("""COMPUTED_VALUE"""),1)</f>
        <v>1</v>
      </c>
      <c r="C7" s="46" t="str">
        <f ca="1">IFERROR(__xludf.DUMMYFUNCTION("""COMPUTED_VALUE"""),"AUDITORIAS")</f>
        <v>AUDITORIAS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IFERROR(__xludf.DUMMYFUNCTION("""COMPUTED_VALUE"""),0)</f>
        <v>0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IFERROR(__xludf.DUMMYFUNCTION("""COMPUTED_VALUE"""),0)</f>
        <v>0</v>
      </c>
    </row>
    <row r="8" spans="1:19">
      <c r="A8" s="46" t="str">
        <f ca="1">IFERROR(__xludf.DUMMYFUNCTION("""COMPUTED_VALUE"""),"ATENCION A AUDITORIAS INTERNAS")</f>
        <v>ATENCION A AUDITORIAS INTERNAS</v>
      </c>
      <c r="B8" s="46">
        <f ca="1">IFERROR(__xludf.DUMMYFUNCTION("""COMPUTED_VALUE"""),1)</f>
        <v>1</v>
      </c>
      <c r="C8" s="46" t="str">
        <f ca="1">IFERROR(__xludf.DUMMYFUNCTION("""COMPUTED_VALUE"""),"AUDITORIAS INTERNAS")</f>
        <v>AUDITORIAS INTERNAS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IFERROR(__xludf.DUMMYFUNCTION("""COMPUTED_VALUE"""),"AVANCE PRESUPUESTAL")</f>
        <v>AVANCE PRESUPUESTAL</v>
      </c>
      <c r="B9" s="46">
        <f ca="1">IFERROR(__xludf.DUMMYFUNCTION("""COMPUTED_VALUE"""),1)</f>
        <v>1</v>
      </c>
      <c r="C9" s="46" t="str">
        <f ca="1">IFERROR(__xludf.DUMMYFUNCTION("""COMPUTED_VALUE"""),"AVANCE")</f>
        <v>AVANCE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IFERROR(__xludf.DUMMYFUNCTION("""COMPUTED_VALUE"""),"AVANCE RECAUDATORIO")</f>
        <v>AVANCE RECAUDATORIO</v>
      </c>
      <c r="B10" s="46">
        <f ca="1">IFERROR(__xludf.DUMMYFUNCTION("""COMPUTED_VALUE"""),1)</f>
        <v>1</v>
      </c>
      <c r="C10" s="46" t="str">
        <f ca="1">IFERROR(__xludf.DUMMYFUNCTION("""COMPUTED_VALUE"""),"AVANCE")</f>
        <v>AVANCE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IFERROR(__xludf.DUMMYFUNCTION("""COMPUTED_VALUE"""),"ATENCION A AUDITORIAS FEDERALES")</f>
        <v>ATENCION A AUDITORIAS FEDERALES</v>
      </c>
      <c r="B11" s="46">
        <f ca="1">IFERROR(__xludf.DUMMYFUNCTION("""COMPUTED_VALUE"""),1)</f>
        <v>1</v>
      </c>
      <c r="C11" s="46" t="str">
        <f ca="1">IFERROR(__xludf.DUMMYFUNCTION("""COMPUTED_VALUE"""),"AUDITORIAS FEDERALES")</f>
        <v>AUDITORIAS FEDERALES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IFERROR(__xludf.DUMMYFUNCTION("""COMPUTED_VALUE"""),0)</f>
        <v>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IFERROR(__xludf.DUMMYFUNCTION("""COMPUTED_VALUE"""),0)</f>
        <v>0</v>
      </c>
    </row>
    <row r="12" spans="1:19">
      <c r="A12" s="46" t="str">
        <f ca="1">IFERROR(__xludf.DUMMYFUNCTION("""COMPUTED_VALUE"""),"NOTIFICACIONES AGUA")</f>
        <v>NOTIFICACIONES AGUA</v>
      </c>
      <c r="B12" s="46">
        <f ca="1">IFERROR(__xludf.DUMMYFUNCTION("""COMPUTED_VALUE"""),1)</f>
        <v>1</v>
      </c>
      <c r="C12" s="46" t="str">
        <f ca="1">IFERROR(__xludf.DUMMYFUNCTION("""COMPUTED_VALUE"""),"NOTIFICACIONES")</f>
        <v>NOTIFICACIONES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IFERROR(__xludf.DUMMYFUNCTION("""COMPUTED_VALUE"""),"NOTIFICACIONES PREDIAL")</f>
        <v>NOTIFICACIONES PREDIAL</v>
      </c>
      <c r="B13" s="46">
        <f ca="1">IFERROR(__xludf.DUMMYFUNCTION("""COMPUTED_VALUE"""),1)</f>
        <v>1</v>
      </c>
      <c r="C13" s="46" t="str">
        <f ca="1">IFERROR(__xludf.DUMMYFUNCTION("""COMPUTED_VALUE"""),"NOTIFICACIONES")</f>
        <v>NOTIFICACIONES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IFERROR(__xludf.DUMMYFUNCTION("""COMPUTED_VALUE"""),"DETECCION TOMAS CLANDESTINAS")</f>
        <v>DETECCION TOMAS CLANDESTINAS</v>
      </c>
      <c r="B14" s="46">
        <f ca="1">IFERROR(__xludf.DUMMYFUNCTION("""COMPUTED_VALUE"""),1)</f>
        <v>1</v>
      </c>
      <c r="C14" s="46" t="str">
        <f ca="1">IFERROR(__xludf.DUMMYFUNCTION("""COMPUTED_VALUE"""),"TOMAS CLANDESTINAS ")</f>
        <v xml:space="preserve">TOMAS CLANDESTINAS 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IFERROR(__xludf.DUMMYFUNCTION("""COMPUTED_VALUE"""),"INVITACIONES DE PAGO")</f>
        <v>INVITACIONES DE PAGO</v>
      </c>
      <c r="B15" s="46">
        <f ca="1">IFERROR(__xludf.DUMMYFUNCTION("""COMPUTED_VALUE"""),1)</f>
        <v>1</v>
      </c>
      <c r="C15" s="46" t="str">
        <f ca="1">IFERROR(__xludf.DUMMYFUNCTION("""COMPUTED_VALUE"""),"INVITACIONES")</f>
        <v>INVITACIONES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IFERROR(__xludf.DUMMYFUNCTION("""COMPUTED_VALUE"""),"SOPORTES TECNICOS")</f>
        <v>SOPORTES TECNICOS</v>
      </c>
      <c r="B16" s="46">
        <f ca="1">IFERROR(__xludf.DUMMYFUNCTION("""COMPUTED_VALUE"""),1)</f>
        <v>1</v>
      </c>
      <c r="C16" s="46" t="str">
        <f ca="1">IFERROR(__xludf.DUMMYFUNCTION("""COMPUTED_VALUE"""),"SOPORTES")</f>
        <v>SOPORTES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IFERROR(__xludf.DUMMYFUNCTION("""COMPUTED_VALUE"""),"LICENCIAS NUEVAS")</f>
        <v>LICENCIAS NUEVAS</v>
      </c>
      <c r="B17" s="46">
        <f ca="1">IFERROR(__xludf.DUMMYFUNCTION("""COMPUTED_VALUE"""),1)</f>
        <v>1</v>
      </c>
      <c r="C17" s="46" t="str">
        <f ca="1">IFERROR(__xludf.DUMMYFUNCTION("""COMPUTED_VALUE"""),"NUEVAS LICENCIAS")</f>
        <v>NUEVAS LICENCIAS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IFERROR(__xludf.DUMMYFUNCTION("""COMPUTED_VALUE"""),0)</f>
        <v>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IFERROR(__xludf.DUMMYFUNCTION("""COMPUTED_VALUE"""),0)</f>
        <v>0</v>
      </c>
    </row>
    <row r="18" spans="1:19">
      <c r="A18" s="46" t="str">
        <f ca="1">IFERROR(__xludf.DUMMYFUNCTION("""COMPUTED_VALUE"""),"REFRENDOS")</f>
        <v>REFRENDOS</v>
      </c>
      <c r="B18" s="46">
        <f ca="1">IFERROR(__xludf.DUMMYFUNCTION("""COMPUTED_VALUE"""),1)</f>
        <v>1</v>
      </c>
      <c r="C18" s="46" t="str">
        <f ca="1">IFERROR(__xludf.DUMMYFUNCTION("""COMPUTED_VALUE"""),"REFRENDOS")</f>
        <v>REFRENDOS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IFERROR(__xludf.DUMMYFUNCTION("""COMPUTED_VALUE"""),"CAMBIOS DE PROPIETARIO")</f>
        <v>CAMBIOS DE PROPIETARIO</v>
      </c>
      <c r="B19" s="46">
        <f ca="1">IFERROR(__xludf.DUMMYFUNCTION("""COMPUTED_VALUE"""),1)</f>
        <v>1</v>
      </c>
      <c r="C19" s="46" t="str">
        <f ca="1">IFERROR(__xludf.DUMMYFUNCTION("""COMPUTED_VALUE"""),"CAMBIOS")</f>
        <v>CAMBIOS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 t="str">
        <f ca="1">IFERROR(__xludf.DUMMYFUNCTION("""COMPUTED_VALUE"""),"CAMBIOS DE DOMICILIO")</f>
        <v>CAMBIOS DE DOMICILIO</v>
      </c>
      <c r="B20" s="46">
        <f ca="1">IFERROR(__xludf.DUMMYFUNCTION("""COMPUTED_VALUE"""),1)</f>
        <v>1</v>
      </c>
      <c r="C20" s="46" t="str">
        <f ca="1">IFERROR(__xludf.DUMMYFUNCTION("""COMPUTED_VALUE"""),"CAMBIOS")</f>
        <v>CAMBIOS</v>
      </c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IFERROR(__xludf.DUMMYFUNCTION("""COMPUTED_VALUE"""),0)</f>
        <v>0</v>
      </c>
      <c r="G20" s="48">
        <f ca="1">IFERROR(__xludf.DUMMYFUNCTION("""COMPUTED_VALUE"""),0)</f>
        <v>0</v>
      </c>
      <c r="H20" s="48">
        <f ca="1">IFERROR(__xludf.DUMMYFUNCTION("""COMPUTED_VALUE"""),0)</f>
        <v>0</v>
      </c>
      <c r="I20" s="48">
        <f ca="1">IFERROR(__xludf.DUMMYFUNCTION("""COMPUTED_VALUE"""),0)</f>
        <v>0</v>
      </c>
      <c r="J20" s="48">
        <f ca="1">IFERROR(__xludf.DUMMYFUNCTION("""COMPUTED_VALUE"""),0)</f>
        <v>0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IFERROR(__xludf.DUMMYFUNCTION("""COMPUTED_VALUE"""),0)</f>
        <v>0</v>
      </c>
    </row>
    <row r="21" spans="1:19">
      <c r="A21" s="46" t="str">
        <f ca="1">IFERROR(__xludf.DUMMYFUNCTION("""COMPUTED_VALUE"""),"LICENCIAS NUEVAS GIRO RESTRINGIDO")</f>
        <v>LICENCIAS NUEVAS GIRO RESTRINGIDO</v>
      </c>
      <c r="B21" s="46">
        <f ca="1">IFERROR(__xludf.DUMMYFUNCTION("""COMPUTED_VALUE"""),1)</f>
        <v>1</v>
      </c>
      <c r="C21" s="46" t="str">
        <f ca="1">IFERROR(__xludf.DUMMYFUNCTION("""COMPUTED_VALUE"""),"NUEVAS LICENCIAS")</f>
        <v>NUEVAS LICENCIAS</v>
      </c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IFERROR(__xludf.DUMMYFUNCTION("""COMPUTED_VALUE"""),0)</f>
        <v>0</v>
      </c>
      <c r="G21" s="48">
        <f ca="1">IFERROR(__xludf.DUMMYFUNCTION("""COMPUTED_VALUE"""),0)</f>
        <v>0</v>
      </c>
      <c r="H21" s="48">
        <f ca="1">IFERROR(__xludf.DUMMYFUNCTION("""COMPUTED_VALUE"""),0)</f>
        <v>0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IFERROR(__xludf.DUMMYFUNCTION("""COMPUTED_VALUE"""),0)</f>
        <v>0</v>
      </c>
    </row>
    <row r="22" spans="1:19">
      <c r="A22" s="46" t="str">
        <f ca="1">IFERROR(__xludf.DUMMYFUNCTION("""COMPUTED_VALUE"""),"REFRENDOS GIRO RESTRINGIDO")</f>
        <v>REFRENDOS GIRO RESTRINGIDO</v>
      </c>
      <c r="B22" s="46">
        <f ca="1">IFERROR(__xludf.DUMMYFUNCTION("""COMPUTED_VALUE"""),1)</f>
        <v>1</v>
      </c>
      <c r="C22" s="46" t="str">
        <f ca="1">IFERROR(__xludf.DUMMYFUNCTION("""COMPUTED_VALUE"""),"REFRENDOS")</f>
        <v>REFRENDOS</v>
      </c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IFERROR(__xludf.DUMMYFUNCTION("""COMPUTED_VALUE"""),0)</f>
        <v>0</v>
      </c>
      <c r="G22" s="48">
        <f ca="1">IFERROR(__xludf.DUMMYFUNCTION("""COMPUTED_VALUE"""),0)</f>
        <v>0</v>
      </c>
      <c r="H22" s="48">
        <f ca="1">IFERROR(__xludf.DUMMYFUNCTION("""COMPUTED_VALUE"""),0)</f>
        <v>0</v>
      </c>
      <c r="I22" s="48">
        <f ca="1">IFERROR(__xludf.DUMMYFUNCTION("""COMPUTED_VALUE"""),0)</f>
        <v>0</v>
      </c>
      <c r="J22" s="48">
        <f ca="1">IFERROR(__xludf.DUMMYFUNCTION("""COMPUTED_VALUE"""),0)</f>
        <v>0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IFERROR(__xludf.DUMMYFUNCTION("""COMPUTED_VALUE"""),0)</f>
        <v>0</v>
      </c>
      <c r="N22" s="48">
        <f ca="1">IFERROR(__xludf.DUMMYFUNCTION("""COMPUTED_VALUE"""),0)</f>
        <v>0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IFERROR(__xludf.DUMMYFUNCTION("""COMPUTED_VALUE"""),0)</f>
        <v>0</v>
      </c>
    </row>
    <row r="23" spans="1:19">
      <c r="A23" s="46" t="str">
        <f ca="1">IFERROR(__xludf.DUMMYFUNCTION("""COMPUTED_VALUE"""),"CAMBIOS DE PROPIETARIO GIRO RESTRINGIDO")</f>
        <v>CAMBIOS DE PROPIETARIO GIRO RESTRINGIDO</v>
      </c>
      <c r="B23" s="46">
        <f ca="1">IFERROR(__xludf.DUMMYFUNCTION("""COMPUTED_VALUE"""),1)</f>
        <v>1</v>
      </c>
      <c r="C23" s="46" t="str">
        <f ca="1">IFERROR(__xludf.DUMMYFUNCTION("""COMPUTED_VALUE"""),"CAMBIOS")</f>
        <v>CAMBIOS</v>
      </c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IFERROR(__xludf.DUMMYFUNCTION("""COMPUTED_VALUE"""),0)</f>
        <v>0</v>
      </c>
      <c r="G23" s="48">
        <f ca="1">IFERROR(__xludf.DUMMYFUNCTION("""COMPUTED_VALUE"""),0)</f>
        <v>0</v>
      </c>
      <c r="H23" s="48">
        <f ca="1">IFERROR(__xludf.DUMMYFUNCTION("""COMPUTED_VALUE"""),0)</f>
        <v>0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IFERROR(__xludf.DUMMYFUNCTION("""COMPUTED_VALUE"""),0)</f>
        <v>0</v>
      </c>
      <c r="N23" s="48">
        <f ca="1">IFERROR(__xludf.DUMMYFUNCTION("""COMPUTED_VALUE"""),0)</f>
        <v>0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IFERROR(__xludf.DUMMYFUNCTION("""COMPUTED_VALUE"""),0)</f>
        <v>0</v>
      </c>
      <c r="S23" s="48">
        <f ca="1">IFERROR(__xludf.DUMMYFUNCTION("""COMPUTED_VALUE"""),0)</f>
        <v>0</v>
      </c>
    </row>
    <row r="24" spans="1:19">
      <c r="A24" s="46" t="str">
        <f ca="1">IFERROR(__xludf.DUMMYFUNCTION("""COMPUTED_VALUE"""),"NUMERO TOTAL DE COMERCIO AMBULANTE")</f>
        <v>NUMERO TOTAL DE COMERCIO AMBULANTE</v>
      </c>
      <c r="B24" s="46">
        <f ca="1">IFERROR(__xludf.DUMMYFUNCTION("""COMPUTED_VALUE"""),1)</f>
        <v>1</v>
      </c>
      <c r="C24" s="46" t="str">
        <f ca="1">IFERROR(__xludf.DUMMYFUNCTION("""COMPUTED_VALUE"""),"COMERCIOS AMBULANTES")</f>
        <v>COMERCIOS AMBULANTES</v>
      </c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IFERROR(__xludf.DUMMYFUNCTION("""COMPUTED_VALUE"""),0)</f>
        <v>0</v>
      </c>
      <c r="G24" s="48">
        <f ca="1">IFERROR(__xludf.DUMMYFUNCTION("""COMPUTED_VALUE"""),0)</f>
        <v>0</v>
      </c>
      <c r="H24" s="48">
        <f ca="1">IFERROR(__xludf.DUMMYFUNCTION("""COMPUTED_VALUE"""),0)</f>
        <v>0</v>
      </c>
      <c r="I24" s="48">
        <f ca="1">IFERROR(__xludf.DUMMYFUNCTION("""COMPUTED_VALUE"""),0)</f>
        <v>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IFERROR(__xludf.DUMMYFUNCTION("""COMPUTED_VALUE"""),0)</f>
        <v>0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IFERROR(__xludf.DUMMYFUNCTION("""COMPUTED_VALUE"""),0)</f>
        <v>0</v>
      </c>
    </row>
    <row r="25" spans="1:19">
      <c r="A25" s="46" t="str">
        <f ca="1">IFERROR(__xludf.DUMMYFUNCTION("""COMPUTED_VALUE"""),"ASIGANCION DE ESPACIOS COMERCIO INFORMAL")</f>
        <v>ASIGANCION DE ESPACIOS COMERCIO INFORMAL</v>
      </c>
      <c r="B25" s="46">
        <f ca="1">IFERROR(__xludf.DUMMYFUNCTION("""COMPUTED_VALUE"""),1)</f>
        <v>1</v>
      </c>
      <c r="C25" s="46" t="str">
        <f ca="1">IFERROR(__xludf.DUMMYFUNCTION("""COMPUTED_VALUE"""),"ESPACIOS")</f>
        <v>ESPACIOS</v>
      </c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IFERROR(__xludf.DUMMYFUNCTION("""COMPUTED_VALUE"""),0)</f>
        <v>0</v>
      </c>
      <c r="G25" s="48">
        <f ca="1">IFERROR(__xludf.DUMMYFUNCTION("""COMPUTED_VALUE"""),0)</f>
        <v>0</v>
      </c>
      <c r="H25" s="48">
        <f ca="1">IFERROR(__xludf.DUMMYFUNCTION("""COMPUTED_VALUE"""),0)</f>
        <v>0</v>
      </c>
      <c r="I25" s="48">
        <f ca="1">IFERROR(__xludf.DUMMYFUNCTION("""COMPUTED_VALUE"""),0)</f>
        <v>0</v>
      </c>
      <c r="J25" s="48">
        <f ca="1">IFERROR(__xludf.DUMMYFUNCTION("""COMPUTED_VALUE"""),0)</f>
        <v>0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IFERROR(__xludf.DUMMYFUNCTION("""COMPUTED_VALUE"""),0)</f>
        <v>0</v>
      </c>
    </row>
    <row r="26" spans="1:19">
      <c r="A26" s="46" t="str">
        <f ca="1">IFERROR(__xludf.DUMMYFUNCTION("""COMPUTED_VALUE"""),"CAMBIOS DE DOMICILIO GIRO RESTRINGIDO")</f>
        <v>CAMBIOS DE DOMICILIO GIRO RESTRINGIDO</v>
      </c>
      <c r="B26" s="46">
        <f ca="1">IFERROR(__xludf.DUMMYFUNCTION("""COMPUTED_VALUE"""),1)</f>
        <v>1</v>
      </c>
      <c r="C26" s="46" t="str">
        <f ca="1">IFERROR(__xludf.DUMMYFUNCTION("""COMPUTED_VALUE"""),"CAMBIOS")</f>
        <v>CAMBIOS</v>
      </c>
      <c r="D26" s="46" t="str">
        <f ca="1">IFERROR(__xludf.DUMMYFUNCTION("""COMPUTED_VALUE"""),"ASCENDENTE")</f>
        <v>ASCENDENTE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IFERROR(__xludf.DUMMYFUNCTION("""COMPUTED_VALUE"""),0)</f>
        <v>0</v>
      </c>
      <c r="G26" s="48">
        <f ca="1">IFERROR(__xludf.DUMMYFUNCTION("""COMPUTED_VALUE"""),0)</f>
        <v>0</v>
      </c>
      <c r="H26" s="48">
        <f ca="1">IFERROR(__xludf.DUMMYFUNCTION("""COMPUTED_VALUE"""),0)</f>
        <v>0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IFERROR(__xludf.DUMMYFUNCTION("""COMPUTED_VALUE"""),0)</f>
        <v>0</v>
      </c>
      <c r="L26" s="48">
        <f ca="1">IFERROR(__xludf.DUMMYFUNCTION("""COMPUTED_VALUE"""),0)</f>
        <v>0</v>
      </c>
      <c r="M26" s="48">
        <f ca="1">IFERROR(__xludf.DUMMYFUNCTION("""COMPUTED_VALUE"""),0)</f>
        <v>0</v>
      </c>
      <c r="N26" s="48">
        <f ca="1">IFERROR(__xludf.DUMMYFUNCTION("""COMPUTED_VALUE"""),0)</f>
        <v>0</v>
      </c>
      <c r="O26" s="48">
        <f ca="1">IFERROR(__xludf.DUMMYFUNCTION("""COMPUTED_VALUE"""),0)</f>
        <v>0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IFERROR(__xludf.DUMMYFUNCTION("""COMPUTED_VALUE"""),0)</f>
        <v>0</v>
      </c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S967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IFERROR(__xludf.DUMMYFUNCTION("IMPORTRANGE(""https://docs.google.com/spreadsheets/d/1KqxhEZ4PVC1OdS4KxgAi7tNyAwNiCCwsE-yZzyD_FCU/edit?gid=1196187914#gid=1196187914"",""01!A1:S"")"),"INDICADORES")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IFERROR(__xludf.DUMMYFUNCTION("""COMPUTED_VALUE"""),"AUDITORIA INICIADA")</f>
        <v>AUDITORIA INICIADA</v>
      </c>
      <c r="B2" s="46">
        <f ca="1">IFERROR(__xludf.DUMMYFUNCTION("""COMPUTED_VALUE"""),5)</f>
        <v>5</v>
      </c>
      <c r="C2" s="46" t="str">
        <f ca="1">IFERROR(__xludf.DUMMYFUNCTION("""COMPUTED_VALUE"""),"AUDITORIAS")</f>
        <v>AUDITORIAS</v>
      </c>
      <c r="D2" s="46" t="str">
        <f ca="1">IFERROR(__xludf.DUMMYFUNCTION("""COMPUTED_VALUE"""),"ASCENDENTE")</f>
        <v>ASCENDENTE</v>
      </c>
      <c r="E2" s="46" t="str">
        <f ca="1">IFERROR(__xludf.DUMMYFUNCTION("""COMPUTED_VALUE"""),"BITACORA OPERATIVA")</f>
        <v>BITACORA OPERATIVA</v>
      </c>
      <c r="F2" s="47">
        <f ca="1">IFERROR(__xludf.DUMMYFUNCTION("""COMPUTED_VALUE"""),120)</f>
        <v>120</v>
      </c>
      <c r="G2" s="48">
        <f ca="1">IFERROR(__xludf.DUMMYFUNCTION("""COMPUTED_VALUE"""),0)</f>
        <v>0</v>
      </c>
      <c r="H2" s="48">
        <f ca="1">IFERROR(__xludf.DUMMYFUNCTION("""COMPUTED_VALUE"""),1)</f>
        <v>1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IFERROR(__xludf.DUMMYFUNCTION("""COMPUTED_VALUE"""),1)</f>
        <v>1</v>
      </c>
      <c r="L2" s="48">
        <f ca="1">IFERROR(__xludf.DUMMYFUNCTION("""COMPUTED_VALUE"""),1)</f>
        <v>1</v>
      </c>
      <c r="M2" s="48">
        <f ca="1">IFERROR(__xludf.DUMMYFUNCTION("""COMPUTED_VALUE"""),0)</f>
        <v>0</v>
      </c>
      <c r="N2" s="48">
        <f ca="1">IFERROR(__xludf.DUMMYFUNCTION("""COMPUTED_VALUE"""),1)</f>
        <v>1</v>
      </c>
      <c r="O2" s="48">
        <f ca="1">IFERROR(__xludf.DUMMYFUNCTION("""COMPUTED_VALUE"""),0)</f>
        <v>0</v>
      </c>
      <c r="P2" s="48">
        <f ca="1">IFERROR(__xludf.DUMMYFUNCTION("""COMPUTED_VALUE"""),1)</f>
        <v>1</v>
      </c>
      <c r="Q2" s="48">
        <f ca="1">IFERROR(__xludf.DUMMYFUNCTION("""COMPUTED_VALUE"""),1)</f>
        <v>1</v>
      </c>
      <c r="R2" s="48">
        <f ca="1">IFERROR(__xludf.DUMMYFUNCTION("""COMPUTED_VALUE"""),0)</f>
        <v>0</v>
      </c>
      <c r="S2" s="48">
        <f ca="1">IFERROR(__xludf.DUMMYFUNCTION("""COMPUTED_VALUE"""),6)</f>
        <v>6</v>
      </c>
    </row>
    <row r="3" spans="1:19">
      <c r="A3" s="46" t="str">
        <f ca="1">IFERROR(__xludf.DUMMYFUNCTION("""COMPUTED_VALUE"""),"AUDITORIA EN PROCESO")</f>
        <v>AUDITORIA EN PROCESO</v>
      </c>
      <c r="B3" s="46">
        <f ca="1">IFERROR(__xludf.DUMMYFUNCTION("""COMPUTED_VALUE"""),8)</f>
        <v>8</v>
      </c>
      <c r="C3" s="46" t="str">
        <f ca="1">IFERROR(__xludf.DUMMYFUNCTION("""COMPUTED_VALUE"""),"AUDITORIAS")</f>
        <v>AUDITORIAS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OPERATIVA")</f>
        <v>BITACORA OPERATIVA</v>
      </c>
      <c r="F3" s="47">
        <f ca="1">IFERROR(__xludf.DUMMYFUNCTION("""COMPUTED_VALUE"""),137.5)</f>
        <v>137.5</v>
      </c>
      <c r="G3" s="48">
        <f ca="1">IFERROR(__xludf.DUMMYFUNCTION("""COMPUTED_VALUE"""),0)</f>
        <v>0</v>
      </c>
      <c r="H3" s="48">
        <f ca="1">IFERROR(__xludf.DUMMYFUNCTION("""COMPUTED_VALUE"""),1)</f>
        <v>1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IFERROR(__xludf.DUMMYFUNCTION("""COMPUTED_VALUE"""),1)</f>
        <v>1</v>
      </c>
      <c r="L3" s="48">
        <f ca="1">IFERROR(__xludf.DUMMYFUNCTION("""COMPUTED_VALUE"""),0)</f>
        <v>0</v>
      </c>
      <c r="M3" s="48">
        <f ca="1">IFERROR(__xludf.DUMMYFUNCTION("""COMPUTED_VALUE"""),4)</f>
        <v>4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IFERROR(__xludf.DUMMYFUNCTION("""COMPUTED_VALUE"""),2)</f>
        <v>2</v>
      </c>
      <c r="R3" s="48">
        <f ca="1">IFERROR(__xludf.DUMMYFUNCTION("""COMPUTED_VALUE"""),3)</f>
        <v>3</v>
      </c>
      <c r="S3" s="48">
        <f ca="1">IFERROR(__xludf.DUMMYFUNCTION("""COMPUTED_VALUE"""),11)</f>
        <v>11</v>
      </c>
    </row>
    <row r="4" spans="1:19">
      <c r="A4" s="46" t="str">
        <f ca="1">IFERROR(__xludf.DUMMYFUNCTION("""COMPUTED_VALUE"""),"ACTA CIRCUNSTANCIADA VERIFICADIÓN  FÍSICA")</f>
        <v>ACTA CIRCUNSTANCIADA VERIFICADIÓN  FÍSICA</v>
      </c>
      <c r="B4" s="46">
        <f ca="1">IFERROR(__xludf.DUMMYFUNCTION("""COMPUTED_VALUE"""),3)</f>
        <v>3</v>
      </c>
      <c r="C4" s="46" t="str">
        <f ca="1">IFERROR(__xludf.DUMMYFUNCTION("""COMPUTED_VALUE"""),"ACTAS ")</f>
        <v xml:space="preserve">ACTAS 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OPERATIVA")</f>
        <v>BITACORA OPERATIVA</v>
      </c>
      <c r="F4" s="47">
        <f ca="1">IFERROR(__xludf.DUMMYFUNCTION("""COMPUTED_VALUE"""),133.333333333333)</f>
        <v>133.333333333333</v>
      </c>
      <c r="G4" s="48">
        <f ca="1">IFERROR(__xludf.DUMMYFUNCTION("""COMPUTED_VALUE"""),0)</f>
        <v>0</v>
      </c>
      <c r="H4" s="48">
        <f ca="1">IFERROR(__xludf.DUMMYFUNCTION("""COMPUTED_VALUE"""),1)</f>
        <v>1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IFERROR(__xludf.DUMMYFUNCTION("""COMPUTED_VALUE"""),1)</f>
        <v>1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IFERROR(__xludf.DUMMYFUNCTION("""COMPUTED_VALUE"""),2)</f>
        <v>2</v>
      </c>
      <c r="R4" s="48">
        <f ca="1">IFERROR(__xludf.DUMMYFUNCTION("""COMPUTED_VALUE"""),0)</f>
        <v>0</v>
      </c>
      <c r="S4" s="48">
        <f ca="1">IFERROR(__xludf.DUMMYFUNCTION("""COMPUTED_VALUE"""),4)</f>
        <v>4</v>
      </c>
    </row>
    <row r="5" spans="1:19">
      <c r="A5" s="46" t="str">
        <f ca="1">IFERROR(__xludf.DUMMYFUNCTION("""COMPUTED_VALUE"""),"MEMORIA FOTOGRAFICAS")</f>
        <v>MEMORIA FOTOGRAFICAS</v>
      </c>
      <c r="B5" s="46">
        <f ca="1">IFERROR(__xludf.DUMMYFUNCTION("""COMPUTED_VALUE"""),4)</f>
        <v>4</v>
      </c>
      <c r="C5" s="46" t="str">
        <f ca="1">IFERROR(__xludf.DUMMYFUNCTION("""COMPUTED_VALUE"""),"UNIDADES")</f>
        <v>UNIDADES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IFERROR(__xludf.DUMMYFUNCTION("""COMPUTED_VALUE"""),125)</f>
        <v>125</v>
      </c>
      <c r="G5" s="48">
        <f ca="1">IFERROR(__xludf.DUMMYFUNCTION("""COMPUTED_VALUE"""),0)</f>
        <v>0</v>
      </c>
      <c r="H5" s="48">
        <f ca="1">IFERROR(__xludf.DUMMYFUNCTION("""COMPUTED_VALUE"""),1)</f>
        <v>1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IFERROR(__xludf.DUMMYFUNCTION("""COMPUTED_VALUE"""),1)</f>
        <v>1</v>
      </c>
      <c r="L5" s="48">
        <f ca="1">IFERROR(__xludf.DUMMYFUNCTION("""COMPUTED_VALUE"""),1)</f>
        <v>1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IFERROR(__xludf.DUMMYFUNCTION("""COMPUTED_VALUE"""),2)</f>
        <v>2</v>
      </c>
      <c r="R5" s="48">
        <f ca="1">IFERROR(__xludf.DUMMYFUNCTION("""COMPUTED_VALUE"""),0)</f>
        <v>0</v>
      </c>
      <c r="S5" s="48">
        <f ca="1">IFERROR(__xludf.DUMMYFUNCTION("""COMPUTED_VALUE"""),5)</f>
        <v>5</v>
      </c>
    </row>
    <row r="6" spans="1:19">
      <c r="A6" s="46" t="str">
        <f ca="1">IFERROR(__xludf.DUMMYFUNCTION("""COMPUTED_VALUE"""),"CÉDULAS DE VERIIFCACIÓN")</f>
        <v>CÉDULAS DE VERIIFCACIÓN</v>
      </c>
      <c r="B6" s="46">
        <f ca="1">IFERROR(__xludf.DUMMYFUNCTION("""COMPUTED_VALUE"""),6)</f>
        <v>6</v>
      </c>
      <c r="C6" s="46" t="str">
        <f ca="1">IFERROR(__xludf.DUMMYFUNCTION("""COMPUTED_VALUE"""),"CEDULAS")</f>
        <v>CEDULAS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IFERROR(__xludf.DUMMYFUNCTION("""COMPUTED_VALUE"""),116.666666666666)</f>
        <v>116.666666666666</v>
      </c>
      <c r="G6" s="48">
        <f ca="1">IFERROR(__xludf.DUMMYFUNCTION("""COMPUTED_VALUE"""),0)</f>
        <v>0</v>
      </c>
      <c r="H6" s="48">
        <f ca="1">IFERROR(__xludf.DUMMYFUNCTION("""COMPUTED_VALUE"""),2)</f>
        <v>2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IFERROR(__xludf.DUMMYFUNCTION("""COMPUTED_VALUE"""),1)</f>
        <v>1</v>
      </c>
      <c r="L6" s="48">
        <f ca="1">IFERROR(__xludf.DUMMYFUNCTION("""COMPUTED_VALUE"""),0)</f>
        <v>0</v>
      </c>
      <c r="M6" s="48">
        <f ca="1">IFERROR(__xludf.DUMMYFUNCTION("""COMPUTED_VALUE"""),2)</f>
        <v>2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IFERROR(__xludf.DUMMYFUNCTION("""COMPUTED_VALUE"""),2)</f>
        <v>2</v>
      </c>
      <c r="R6" s="48">
        <f ca="1">IFERROR(__xludf.DUMMYFUNCTION("""COMPUTED_VALUE"""),0)</f>
        <v>0</v>
      </c>
      <c r="S6" s="48">
        <f ca="1">IFERROR(__xludf.DUMMYFUNCTION("""COMPUTED_VALUE"""),7)</f>
        <v>7</v>
      </c>
    </row>
    <row r="7" spans="1:19">
      <c r="A7" s="46" t="str">
        <f ca="1">IFERROR(__xludf.DUMMYFUNCTION("""COMPUTED_VALUE"""),"DOCUMENTOS EVALUADOS")</f>
        <v>DOCUMENTOS EVALUADOS</v>
      </c>
      <c r="B7" s="46">
        <f ca="1">IFERROR(__xludf.DUMMYFUNCTION("""COMPUTED_VALUE"""),255)</f>
        <v>255</v>
      </c>
      <c r="C7" s="46" t="str">
        <f ca="1">IFERROR(__xludf.DUMMYFUNCTION("""COMPUTED_VALUE"""),"DOCUMENTOS EVALUADOS")</f>
        <v>DOCUMENTOS EVALUADOS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IFERROR(__xludf.DUMMYFUNCTION("""COMPUTED_VALUE"""),116.078431372549)</f>
        <v>116.07843137254901</v>
      </c>
      <c r="G7" s="48">
        <f ca="1">IFERROR(__xludf.DUMMYFUNCTION("""COMPUTED_VALUE"""),0)</f>
        <v>0</v>
      </c>
      <c r="H7" s="48">
        <f ca="1">IFERROR(__xludf.DUMMYFUNCTION("""COMPUTED_VALUE"""),63)</f>
        <v>63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IFERROR(__xludf.DUMMYFUNCTION("""COMPUTED_VALUE"""),58)</f>
        <v>58</v>
      </c>
      <c r="L7" s="48">
        <f ca="1">IFERROR(__xludf.DUMMYFUNCTION("""COMPUTED_VALUE"""),0)</f>
        <v>0</v>
      </c>
      <c r="M7" s="48">
        <f ca="1">IFERROR(__xludf.DUMMYFUNCTION("""COMPUTED_VALUE"""),102)</f>
        <v>102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IFERROR(__xludf.DUMMYFUNCTION("""COMPUTED_VALUE"""),73)</f>
        <v>73</v>
      </c>
      <c r="R7" s="48">
        <f ca="1">IFERROR(__xludf.DUMMYFUNCTION("""COMPUTED_VALUE"""),0)</f>
        <v>0</v>
      </c>
      <c r="S7" s="48">
        <f ca="1">IFERROR(__xludf.DUMMYFUNCTION("""COMPUTED_VALUE"""),296)</f>
        <v>296</v>
      </c>
    </row>
    <row r="8" spans="1:19">
      <c r="A8" s="46" t="str">
        <f ca="1">IFERROR(__xludf.DUMMYFUNCTION("""COMPUTED_VALUE"""),"OBSERVACIONES DE RESULTADOS DE DESEMPEÑO")</f>
        <v>OBSERVACIONES DE RESULTADOS DE DESEMPEÑO</v>
      </c>
      <c r="B8" s="46">
        <f ca="1">IFERROR(__xludf.DUMMYFUNCTION("""COMPUTED_VALUE"""),60)</f>
        <v>60</v>
      </c>
      <c r="C8" s="46" t="str">
        <f ca="1">IFERROR(__xludf.DUMMYFUNCTION("""COMPUTED_VALUE"""),"OBSERVACIONES")</f>
        <v>OBSERVACIONES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IFERROR(__xludf.DUMMYFUNCTION("""COMPUTED_VALUE"""),55)</f>
        <v>55</v>
      </c>
      <c r="G8" s="48">
        <f ca="1">IFERROR(__xludf.DUMMYFUNCTION("""COMPUTED_VALUE"""),0)</f>
        <v>0</v>
      </c>
      <c r="H8" s="48">
        <f ca="1">IFERROR(__xludf.DUMMYFUNCTION("""COMPUTED_VALUE"""),2)</f>
        <v>2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IFERROR(__xludf.DUMMYFUNCTION("""COMPUTED_VALUE"""),30)</f>
        <v>30</v>
      </c>
      <c r="N8" s="48">
        <f ca="1">IFERROR(__xludf.DUMMYFUNCTION("""COMPUTED_VALUE"""),0)</f>
        <v>0</v>
      </c>
      <c r="O8" s="48">
        <f ca="1">IFERROR(__xludf.DUMMYFUNCTION("""COMPUTED_VALUE"""),1)</f>
        <v>1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IFERROR(__xludf.DUMMYFUNCTION("""COMPUTED_VALUE"""),33)</f>
        <v>33</v>
      </c>
    </row>
    <row r="9" spans="1:19">
      <c r="A9" s="46" t="str">
        <f ca="1">IFERROR(__xludf.DUMMYFUNCTION("""COMPUTED_VALUE"""),"AUDITORIA FINALIZADA")</f>
        <v>AUDITORIA FINALIZADA</v>
      </c>
      <c r="B9" s="46">
        <f ca="1">IFERROR(__xludf.DUMMYFUNCTION("""COMPUTED_VALUE"""),5)</f>
        <v>5</v>
      </c>
      <c r="C9" s="46" t="str">
        <f ca="1">IFERROR(__xludf.DUMMYFUNCTION("""COMPUTED_VALUE"""),"AUDITORIAS FINALIZADAS")</f>
        <v>AUDITORIAS FINALIZADAS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IFERROR(__xludf.DUMMYFUNCTION("""COMPUTED_VALUE"""),60)</f>
        <v>60</v>
      </c>
      <c r="G9" s="48">
        <f ca="1">IFERROR(__xludf.DUMMYFUNCTION("""COMPUTED_VALUE"""),0)</f>
        <v>0</v>
      </c>
      <c r="H9" s="48">
        <f ca="1">IFERROR(__xludf.DUMMYFUNCTION("""COMPUTED_VALUE"""),1)</f>
        <v>1</v>
      </c>
      <c r="I9" s="48">
        <f ca="1">IFERROR(__xludf.DUMMYFUNCTION("""COMPUTED_VALUE"""),0)</f>
        <v>0</v>
      </c>
      <c r="J9" s="48">
        <f ca="1">IFERROR(__xludf.DUMMYFUNCTION("""COMPUTED_VALUE"""),2)</f>
        <v>2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IFERROR(__xludf.DUMMYFUNCTION("""COMPUTED_VALUE"""),3)</f>
        <v>3</v>
      </c>
    </row>
    <row r="10" spans="1:19">
      <c r="A10" s="46" t="str">
        <f ca="1">IFERROR(__xludf.DUMMYFUNCTION("""COMPUTED_VALUE"""),"AUDITORÍA A DELEGACIONES (FLUJO DE EFECTIVO EN CAJAS CHICAS Y RECEPCIÓN DE PAGOS) ")</f>
        <v xml:space="preserve">AUDITORÍA A DELEGACIONES (FLUJO DE EFECTIVO EN CAJAS CHICAS Y RECEPCIÓN DE PAGOS) </v>
      </c>
      <c r="B10" s="46">
        <f ca="1">IFERROR(__xludf.DUMMYFUNCTION("""COMPUTED_VALUE"""),3)</f>
        <v>3</v>
      </c>
      <c r="C10" s="46" t="str">
        <f ca="1">IFERROR(__xludf.DUMMYFUNCTION("""COMPUTED_VALUE"""),"AUDITORIAS")</f>
        <v>AUDITORIAS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IFERROR(__xludf.DUMMYFUNCTION("""COMPUTED_VALUE"""),"AUDITORÍA DE RECURSOS FEDERALES Y ESTATALES (PROGRAMAS DESTINADOS AL FORTALECIMIENTO MUNICIPAL)  ")</f>
        <v xml:space="preserve">AUDITORÍA DE RECURSOS FEDERALES Y ESTATALES (PROGRAMAS DESTINADOS AL FORTALECIMIENTO MUNICIPAL)  </v>
      </c>
      <c r="B11" s="46">
        <f ca="1">IFERROR(__xludf.DUMMYFUNCTION("""COMPUTED_VALUE"""),1)</f>
        <v>1</v>
      </c>
      <c r="C11" s="46" t="str">
        <f ca="1">IFERROR(__xludf.DUMMYFUNCTION("""COMPUTED_VALUE"""),"AUDITORIAS")</f>
        <v>AUDITORIAS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IFERROR(__xludf.DUMMYFUNCTION("""COMPUTED_VALUE"""),0)</f>
        <v>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IFERROR(__xludf.DUMMYFUNCTION("""COMPUTED_VALUE"""),0)</f>
        <v>0</v>
      </c>
    </row>
    <row r="12" spans="1:19">
      <c r="A12" s="46" t="str">
        <f ca="1">IFERROR(__xludf.DUMMYFUNCTION("""COMPUTED_VALUE"""),"AUDITORÍA DE PROCEDIMIENTOS (REGISTRO CIVIL, LICENCIAS, MULTAS, Y RECARGOS)")</f>
        <v>AUDITORÍA DE PROCEDIMIENTOS (REGISTRO CIVIL, LICENCIAS, MULTAS, Y RECARGOS)</v>
      </c>
      <c r="B12" s="46">
        <f ca="1">IFERROR(__xludf.DUMMYFUNCTION("""COMPUTED_VALUE"""),1)</f>
        <v>1</v>
      </c>
      <c r="C12" s="46" t="str">
        <f ca="1">IFERROR(__xludf.DUMMYFUNCTION("""COMPUTED_VALUE"""),"AUDITORIAS")</f>
        <v>AUDITORIAS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IFERROR(__xludf.DUMMYFUNCTION("""COMPUTED_VALUE"""),"AUDITORÍA DE CAJAS EN TESORERÍA (EMISIÓN DE COMPROBANTES, REGLAMENTACIÓN, Y RESGUARDO DE INFORMACIÓN)")</f>
        <v>AUDITORÍA DE CAJAS EN TESORERÍA (EMISIÓN DE COMPROBANTES, REGLAMENTACIÓN, Y RESGUARDO DE INFORMACIÓN)</v>
      </c>
      <c r="B13" s="46">
        <f ca="1">IFERROR(__xludf.DUMMYFUNCTION("""COMPUTED_VALUE"""),1)</f>
        <v>1</v>
      </c>
      <c r="C13" s="46" t="str">
        <f ca="1">IFERROR(__xludf.DUMMYFUNCTION("""COMPUTED_VALUE"""),"AUDITORIAS")</f>
        <v>AUDITORIAS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IFERROR(__xludf.DUMMYFUNCTION("""COMPUTED_VALUE"""),"AUDITORÍA DEL PATRIMONIO MUNICIPAL (BIENES MUEBLES E INMUEBLES)")</f>
        <v>AUDITORÍA DEL PATRIMONIO MUNICIPAL (BIENES MUEBLES E INMUEBLES)</v>
      </c>
      <c r="B14" s="46">
        <f ca="1">IFERROR(__xludf.DUMMYFUNCTION("""COMPUTED_VALUE"""),1)</f>
        <v>1</v>
      </c>
      <c r="C14" s="46" t="str">
        <f ca="1">IFERROR(__xludf.DUMMYFUNCTION("""COMPUTED_VALUE"""),"AUDITORIAS")</f>
        <v>AUDITORIAS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IFERROR(__xludf.DUMMYFUNCTION("""COMPUTED_VALUE"""),"DECLARACIÓN PATRIMONIAL, INTERÉS Y FÍSCAL INICIALES")</f>
        <v>DECLARACIÓN PATRIMONIAL, INTERÉS Y FÍSCAL INICIALES</v>
      </c>
      <c r="B15" s="46">
        <f ca="1">IFERROR(__xludf.DUMMYFUNCTION("""COMPUTED_VALUE"""),470)</f>
        <v>470</v>
      </c>
      <c r="C15" s="46" t="str">
        <f ca="1">IFERROR(__xludf.DUMMYFUNCTION("""COMPUTED_VALUE"""),"DECLARACIONES ")</f>
        <v xml:space="preserve">DECLARACIONES 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IFERROR(__xludf.DUMMYFUNCTION("""COMPUTED_VALUE"""),104.893617021276)</f>
        <v>104.893617021276</v>
      </c>
      <c r="G15" s="48">
        <f ca="1">IFERROR(__xludf.DUMMYFUNCTION("""COMPUTED_VALUE"""),4)</f>
        <v>4</v>
      </c>
      <c r="H15" s="48">
        <f ca="1">IFERROR(__xludf.DUMMYFUNCTION("""COMPUTED_VALUE"""),210)</f>
        <v>210</v>
      </c>
      <c r="I15" s="48">
        <f ca="1">IFERROR(__xludf.DUMMYFUNCTION("""COMPUTED_VALUE"""),46)</f>
        <v>46</v>
      </c>
      <c r="J15" s="48">
        <f ca="1">IFERROR(__xludf.DUMMYFUNCTION("""COMPUTED_VALUE"""),76)</f>
        <v>76</v>
      </c>
      <c r="K15" s="48">
        <f ca="1">IFERROR(__xludf.DUMMYFUNCTION("""COMPUTED_VALUE"""),5)</f>
        <v>5</v>
      </c>
      <c r="L15" s="48">
        <f ca="1">IFERROR(__xludf.DUMMYFUNCTION("""COMPUTED_VALUE"""),36)</f>
        <v>36</v>
      </c>
      <c r="M15" s="48">
        <f ca="1">IFERROR(__xludf.DUMMYFUNCTION("""COMPUTED_VALUE"""),14)</f>
        <v>14</v>
      </c>
      <c r="N15" s="48">
        <f ca="1">IFERROR(__xludf.DUMMYFUNCTION("""COMPUTED_VALUE"""),56)</f>
        <v>56</v>
      </c>
      <c r="O15" s="48">
        <f ca="1">IFERROR(__xludf.DUMMYFUNCTION("""COMPUTED_VALUE"""),12)</f>
        <v>12</v>
      </c>
      <c r="P15" s="48">
        <f ca="1">IFERROR(__xludf.DUMMYFUNCTION("""COMPUTED_VALUE"""),2)</f>
        <v>2</v>
      </c>
      <c r="Q15" s="48">
        <f ca="1">IFERROR(__xludf.DUMMYFUNCTION("""COMPUTED_VALUE"""),13)</f>
        <v>13</v>
      </c>
      <c r="R15" s="48">
        <f ca="1">IFERROR(__xludf.DUMMYFUNCTION("""COMPUTED_VALUE"""),19)</f>
        <v>19</v>
      </c>
      <c r="S15" s="48">
        <f ca="1">IFERROR(__xludf.DUMMYFUNCTION("""COMPUTED_VALUE"""),493)</f>
        <v>493</v>
      </c>
    </row>
    <row r="16" spans="1:19">
      <c r="A16" s="46" t="str">
        <f ca="1">IFERROR(__xludf.DUMMYFUNCTION("""COMPUTED_VALUE"""),"DECLARACIONES PATRIMONIALES DE CONCLUSIÓN")</f>
        <v>DECLARACIONES PATRIMONIALES DE CONCLUSIÓN</v>
      </c>
      <c r="B16" s="46">
        <f ca="1">IFERROR(__xludf.DUMMYFUNCTION("""COMPUTED_VALUE"""),250)</f>
        <v>250</v>
      </c>
      <c r="C16" s="46" t="str">
        <f ca="1">IFERROR(__xludf.DUMMYFUNCTION("""COMPUTED_VALUE"""),"DECLARACIONES ")</f>
        <v xml:space="preserve">DECLARACIONES 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IFERROR(__xludf.DUMMYFUNCTION("""COMPUTED_VALUE"""),95.1999999999999)</f>
        <v>95.199999999999903</v>
      </c>
      <c r="G16" s="48">
        <f ca="1">IFERROR(__xludf.DUMMYFUNCTION("""COMPUTED_VALUE"""),42)</f>
        <v>42</v>
      </c>
      <c r="H16" s="48">
        <f ca="1">IFERROR(__xludf.DUMMYFUNCTION("""COMPUTED_VALUE"""),97)</f>
        <v>97</v>
      </c>
      <c r="I16" s="48">
        <f ca="1">IFERROR(__xludf.DUMMYFUNCTION("""COMPUTED_VALUE"""),26)</f>
        <v>26</v>
      </c>
      <c r="J16" s="48">
        <f ca="1">IFERROR(__xludf.DUMMYFUNCTION("""COMPUTED_VALUE"""),20)</f>
        <v>20</v>
      </c>
      <c r="K16" s="48">
        <f ca="1">IFERROR(__xludf.DUMMYFUNCTION("""COMPUTED_VALUE"""),0)</f>
        <v>0</v>
      </c>
      <c r="L16" s="48">
        <f ca="1">IFERROR(__xludf.DUMMYFUNCTION("""COMPUTED_VALUE"""),15)</f>
        <v>15</v>
      </c>
      <c r="M16" s="48">
        <f ca="1">IFERROR(__xludf.DUMMYFUNCTION("""COMPUTED_VALUE"""),5)</f>
        <v>5</v>
      </c>
      <c r="N16" s="48">
        <f ca="1">IFERROR(__xludf.DUMMYFUNCTION("""COMPUTED_VALUE"""),10)</f>
        <v>10</v>
      </c>
      <c r="O16" s="48">
        <f ca="1">IFERROR(__xludf.DUMMYFUNCTION("""COMPUTED_VALUE"""),7)</f>
        <v>7</v>
      </c>
      <c r="P16" s="48">
        <f ca="1">IFERROR(__xludf.DUMMYFUNCTION("""COMPUTED_VALUE"""),1)</f>
        <v>1</v>
      </c>
      <c r="Q16" s="48">
        <f ca="1">IFERROR(__xludf.DUMMYFUNCTION("""COMPUTED_VALUE"""),12)</f>
        <v>12</v>
      </c>
      <c r="R16" s="48">
        <f ca="1">IFERROR(__xludf.DUMMYFUNCTION("""COMPUTED_VALUE"""),3)</f>
        <v>3</v>
      </c>
      <c r="S16" s="48">
        <f ca="1">IFERROR(__xludf.DUMMYFUNCTION("""COMPUTED_VALUE"""),238)</f>
        <v>238</v>
      </c>
    </row>
    <row r="17" spans="1:19">
      <c r="A17" s="46" t="str">
        <f ca="1">IFERROR(__xludf.DUMMYFUNCTION("""COMPUTED_VALUE"""),"PROCEDIMIENTOS ADMINISTRATIVOS INICIADOS")</f>
        <v>PROCEDIMIENTOS ADMINISTRATIVOS INICIADOS</v>
      </c>
      <c r="B17" s="46">
        <f ca="1">IFERROR(__xludf.DUMMYFUNCTION("""COMPUTED_VALUE"""),75)</f>
        <v>75</v>
      </c>
      <c r="C17" s="46" t="str">
        <f ca="1">IFERROR(__xludf.DUMMYFUNCTION("""COMPUTED_VALUE"""),"PROCEDIMIENTOS")</f>
        <v>PROCEDIMIENTOS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IFERROR(__xludf.DUMMYFUNCTION("""COMPUTED_VALUE"""),90.6666666666666)</f>
        <v>90.6666666666666</v>
      </c>
      <c r="G17" s="48">
        <f ca="1">IFERROR(__xludf.DUMMYFUNCTION("""COMPUTED_VALUE"""),10)</f>
        <v>10</v>
      </c>
      <c r="H17" s="48">
        <f ca="1">IFERROR(__xludf.DUMMYFUNCTION("""COMPUTED_VALUE"""),0)</f>
        <v>0</v>
      </c>
      <c r="I17" s="48">
        <f ca="1">IFERROR(__xludf.DUMMYFUNCTION("""COMPUTED_VALUE"""),36)</f>
        <v>36</v>
      </c>
      <c r="J17" s="48">
        <f ca="1">IFERROR(__xludf.DUMMYFUNCTION("""COMPUTED_VALUE"""),5)</f>
        <v>5</v>
      </c>
      <c r="K17" s="48">
        <f ca="1">IFERROR(__xludf.DUMMYFUNCTION("""COMPUTED_VALUE"""),0)</f>
        <v>0</v>
      </c>
      <c r="L17" s="48">
        <f ca="1">IFERROR(__xludf.DUMMYFUNCTION("""COMPUTED_VALUE"""),8)</f>
        <v>8</v>
      </c>
      <c r="M17" s="48">
        <f ca="1">IFERROR(__xludf.DUMMYFUNCTION("""COMPUTED_VALUE"""),1)</f>
        <v>1</v>
      </c>
      <c r="N17" s="48">
        <f ca="1">IFERROR(__xludf.DUMMYFUNCTION("""COMPUTED_VALUE"""),1)</f>
        <v>1</v>
      </c>
      <c r="O17" s="48">
        <f ca="1">IFERROR(__xludf.DUMMYFUNCTION("""COMPUTED_VALUE"""),0)</f>
        <v>0</v>
      </c>
      <c r="P17" s="48">
        <f ca="1">IFERROR(__xludf.DUMMYFUNCTION("""COMPUTED_VALUE"""),2)</f>
        <v>2</v>
      </c>
      <c r="Q17" s="48">
        <f ca="1">IFERROR(__xludf.DUMMYFUNCTION("""COMPUTED_VALUE"""),1)</f>
        <v>1</v>
      </c>
      <c r="R17" s="48">
        <f ca="1">IFERROR(__xludf.DUMMYFUNCTION("""COMPUTED_VALUE"""),4)</f>
        <v>4</v>
      </c>
      <c r="S17" s="48">
        <f ca="1">IFERROR(__xludf.DUMMYFUNCTION("""COMPUTED_VALUE"""),68)</f>
        <v>68</v>
      </c>
    </row>
    <row r="18" spans="1:19">
      <c r="A18" s="46" t="str">
        <f ca="1">IFERROR(__xludf.DUMMYFUNCTION("""COMPUTED_VALUE"""),"PROCEDIMIENTOS ADMINISTRATIVOS EN PROCESO")</f>
        <v>PROCEDIMIENTOS ADMINISTRATIVOS EN PROCESO</v>
      </c>
      <c r="B18" s="46">
        <f ca="1">IFERROR(__xludf.DUMMYFUNCTION("""COMPUTED_VALUE"""),418)</f>
        <v>418</v>
      </c>
      <c r="C18" s="46" t="str">
        <f ca="1">IFERROR(__xludf.DUMMYFUNCTION("""COMPUTED_VALUE"""),"PROCEDIMIENTOS")</f>
        <v>PROCEDIMIENTOS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IFERROR(__xludf.DUMMYFUNCTION("""COMPUTED_VALUE"""),96.6507177033492)</f>
        <v>96.650717703349201</v>
      </c>
      <c r="G18" s="48">
        <f ca="1">IFERROR(__xludf.DUMMYFUNCTION("""COMPUTED_VALUE"""),89)</f>
        <v>89</v>
      </c>
      <c r="H18" s="48">
        <f ca="1">IFERROR(__xludf.DUMMYFUNCTION("""COMPUTED_VALUE"""),89)</f>
        <v>89</v>
      </c>
      <c r="I18" s="48">
        <f ca="1">IFERROR(__xludf.DUMMYFUNCTION("""COMPUTED_VALUE"""),214)</f>
        <v>214</v>
      </c>
      <c r="J18" s="48">
        <f ca="1">IFERROR(__xludf.DUMMYFUNCTION("""COMPUTED_VALUE"""),0)</f>
        <v>0</v>
      </c>
      <c r="K18" s="48">
        <f ca="1">IFERROR(__xludf.DUMMYFUNCTION("""COMPUTED_VALUE"""),5)</f>
        <v>5</v>
      </c>
      <c r="L18" s="48">
        <f ca="1">IFERROR(__xludf.DUMMYFUNCTION("""COMPUTED_VALUE"""),0)</f>
        <v>0</v>
      </c>
      <c r="M18" s="48">
        <f ca="1">IFERROR(__xludf.DUMMYFUNCTION("""COMPUTED_VALUE"""),3)</f>
        <v>3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IFERROR(__xludf.DUMMYFUNCTION("""COMPUTED_VALUE"""),2)</f>
        <v>2</v>
      </c>
      <c r="R18" s="48">
        <f ca="1">IFERROR(__xludf.DUMMYFUNCTION("""COMPUTED_VALUE"""),2)</f>
        <v>2</v>
      </c>
      <c r="S18" s="48">
        <f ca="1">IFERROR(__xludf.DUMMYFUNCTION("""COMPUTED_VALUE"""),404)</f>
        <v>404</v>
      </c>
    </row>
    <row r="19" spans="1:19">
      <c r="A19" s="46" t="str">
        <f ca="1">IFERROR(__xludf.DUMMYFUNCTION("""COMPUTED_VALUE"""),"PROCEDIMIENTOS ADMINISTRATIVOS TERMINADOS")</f>
        <v>PROCEDIMIENTOS ADMINISTRATIVOS TERMINADOS</v>
      </c>
      <c r="B19" s="46">
        <f ca="1">IFERROR(__xludf.DUMMYFUNCTION("""COMPUTED_VALUE"""),100)</f>
        <v>100</v>
      </c>
      <c r="C19" s="46" t="str">
        <f ca="1">IFERROR(__xludf.DUMMYFUNCTION("""COMPUTED_VALUE"""),"PROCEDIMIENTOS")</f>
        <v>PROCEDIMIENTOS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IFERROR(__xludf.DUMMYFUNCTION("""COMPUTED_VALUE"""),73)</f>
        <v>73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IFERROR(__xludf.DUMMYFUNCTION("""COMPUTED_VALUE"""),13)</f>
        <v>13</v>
      </c>
      <c r="K19" s="48">
        <f ca="1">IFERROR(__xludf.DUMMYFUNCTION("""COMPUTED_VALUE"""),0)</f>
        <v>0</v>
      </c>
      <c r="L19" s="48">
        <f ca="1">IFERROR(__xludf.DUMMYFUNCTION("""COMPUTED_VALUE"""),16)</f>
        <v>16</v>
      </c>
      <c r="M19" s="48">
        <f ca="1">IFERROR(__xludf.DUMMYFUNCTION("""COMPUTED_VALUE"""),26)</f>
        <v>26</v>
      </c>
      <c r="N19" s="48">
        <f ca="1">IFERROR(__xludf.DUMMYFUNCTION("""COMPUTED_VALUE"""),15)</f>
        <v>15</v>
      </c>
      <c r="O19" s="48">
        <f ca="1">IFERROR(__xludf.DUMMYFUNCTION("""COMPUTED_VALUE"""),0)</f>
        <v>0</v>
      </c>
      <c r="P19" s="48">
        <f ca="1">IFERROR(__xludf.DUMMYFUNCTION("""COMPUTED_VALUE"""),2)</f>
        <v>2</v>
      </c>
      <c r="Q19" s="48">
        <f ca="1">IFERROR(__xludf.DUMMYFUNCTION("""COMPUTED_VALUE"""),1)</f>
        <v>1</v>
      </c>
      <c r="R19" s="48">
        <f ca="1">IFERROR(__xludf.DUMMYFUNCTION("""COMPUTED_VALUE"""),0)</f>
        <v>0</v>
      </c>
      <c r="S19" s="48">
        <f ca="1">IFERROR(__xludf.DUMMYFUNCTION("""COMPUTED_VALUE"""),73)</f>
        <v>73</v>
      </c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IFERROR(__xludf.DUMMYFUNCTION("IMPORTRANGE(""https://docs.google.com/spreadsheets/d/1KqxhEZ4PVC1OdS4KxgAi7tNyAwNiCCwsE-yZzyD_FCU/edit?gid=1196187914#gid=1196187914"",""02!A1:S"")"),"INDICADORES")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IFERROR(__xludf.DUMMYFUNCTION("""COMPUTED_VALUE"""),"AUDITORIA INICIADA")</f>
        <v>AUDITORIA INICIADA</v>
      </c>
      <c r="B2" s="46">
        <f ca="1">IFERROR(__xludf.DUMMYFUNCTION("""COMPUTED_VALUE"""),1)</f>
        <v>1</v>
      </c>
      <c r="C2" s="46" t="str">
        <f ca="1">IFERROR(__xludf.DUMMYFUNCTION("""COMPUTED_VALUE"""),"AUDITORIAS")</f>
        <v>AUDITORIAS</v>
      </c>
      <c r="D2" s="46" t="str">
        <f ca="1">IFERROR(__xludf.DUMMYFUNCTION("""COMPUTED_VALUE"""),"ASCENDENTE")</f>
        <v>ASCENDENTE</v>
      </c>
      <c r="E2" s="46" t="str">
        <f ca="1">IFERROR(__xludf.DUMMYFUNCTION("""COMPUTED_VALUE"""),"BITACORA OPERATIVA")</f>
        <v>BITACORA OPERATIVA</v>
      </c>
      <c r="F2" s="48">
        <f ca="1">IFERROR(__xludf.DUMMYFUNCTION("""COMPUTED_VALUE"""),0)</f>
        <v>0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IFERROR(__xludf.DUMMYFUNCTION("""COMPUTED_VALUE"""),0)</f>
        <v>0</v>
      </c>
    </row>
    <row r="3" spans="1:19">
      <c r="A3" s="46" t="str">
        <f ca="1">IFERROR(__xludf.DUMMYFUNCTION("""COMPUTED_VALUE"""),"AUDITORIA EN PROCESO")</f>
        <v>AUDITORIA EN PROCESO</v>
      </c>
      <c r="B3" s="46">
        <f ca="1">IFERROR(__xludf.DUMMYFUNCTION("""COMPUTED_VALUE"""),1)</f>
        <v>1</v>
      </c>
      <c r="C3" s="46" t="str">
        <f ca="1">IFERROR(__xludf.DUMMYFUNCTION("""COMPUTED_VALUE"""),"AUDITORIAS")</f>
        <v>AUDITORIAS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OPERATIVA")</f>
        <v>BITACORA OPERATIVA</v>
      </c>
      <c r="F3" s="48">
        <f ca="1">IFERROR(__xludf.DUMMYFUNCTION("""COMPUTED_VALUE"""),0)</f>
        <v>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IFERROR(__xludf.DUMMYFUNCTION("""COMPUTED_VALUE"""),0)</f>
        <v>0</v>
      </c>
    </row>
    <row r="4" spans="1:19">
      <c r="A4" s="46" t="str">
        <f ca="1">IFERROR(__xludf.DUMMYFUNCTION("""COMPUTED_VALUE"""),"ACTA CIRCUNSTANCIADA VERIFICADIÓN  FÍSICA")</f>
        <v>ACTA CIRCUNSTANCIADA VERIFICADIÓN  FÍSICA</v>
      </c>
      <c r="B4" s="46">
        <f ca="1">IFERROR(__xludf.DUMMYFUNCTION("""COMPUTED_VALUE"""),1)</f>
        <v>1</v>
      </c>
      <c r="C4" s="46" t="str">
        <f ca="1">IFERROR(__xludf.DUMMYFUNCTION("""COMPUTED_VALUE"""),"ACTAS ")</f>
        <v xml:space="preserve">ACTAS 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OPERATIVA")</f>
        <v>BITACORA OPERATIVA</v>
      </c>
      <c r="F4" s="48">
        <f ca="1">IFERROR(__xludf.DUMMYFUNCTION("""COMPUTED_VALUE"""),0)</f>
        <v>0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IFERROR(__xludf.DUMMYFUNCTION("""COMPUTED_VALUE"""),0)</f>
        <v>0</v>
      </c>
    </row>
    <row r="5" spans="1:19">
      <c r="A5" s="46" t="str">
        <f ca="1">IFERROR(__xludf.DUMMYFUNCTION("""COMPUTED_VALUE"""),"MEMORIA FOTOGRAFICAS")</f>
        <v>MEMORIA FOTOGRAFICAS</v>
      </c>
      <c r="B5" s="46">
        <f ca="1">IFERROR(__xludf.DUMMYFUNCTION("""COMPUTED_VALUE"""),1)</f>
        <v>1</v>
      </c>
      <c r="C5" s="46" t="str">
        <f ca="1">IFERROR(__xludf.DUMMYFUNCTION("""COMPUTED_VALUE"""),"UNIDADES")</f>
        <v>UNIDADES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8">
        <f ca="1">IFERROR(__xludf.DUMMYFUNCTION("""COMPUTED_VALUE"""),0)</f>
        <v>0</v>
      </c>
      <c r="G5" s="48">
        <f ca="1">IFERROR(__xludf.DUMMYFUNCTION("""COMPUTED_VALUE"""),0)</f>
        <v>0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IFERROR(__xludf.DUMMYFUNCTION("""COMPUTED_VALUE"""),0)</f>
        <v>0</v>
      </c>
    </row>
    <row r="6" spans="1:19">
      <c r="A6" s="46" t="str">
        <f ca="1">IFERROR(__xludf.DUMMYFUNCTION("""COMPUTED_VALUE"""),"CÉDULAS DE VERIIFCACIÓN")</f>
        <v>CÉDULAS DE VERIIFCACIÓN</v>
      </c>
      <c r="B6" s="46">
        <f ca="1">IFERROR(__xludf.DUMMYFUNCTION("""COMPUTED_VALUE"""),1)</f>
        <v>1</v>
      </c>
      <c r="C6" s="46" t="str">
        <f ca="1">IFERROR(__xludf.DUMMYFUNCTION("""COMPUTED_VALUE"""),"CEDULAS")</f>
        <v>CEDULAS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8">
        <f ca="1">IFERROR(__xludf.DUMMYFUNCTION("""COMPUTED_VALUE"""),0)</f>
        <v>0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IFERROR(__xludf.DUMMYFUNCTION("""COMPUTED_VALUE"""),0)</f>
        <v>0</v>
      </c>
    </row>
    <row r="7" spans="1:19">
      <c r="A7" s="46" t="str">
        <f ca="1">IFERROR(__xludf.DUMMYFUNCTION("""COMPUTED_VALUE"""),"DOCUMENTOS EVALUADOS")</f>
        <v>DOCUMENTOS EVALUADOS</v>
      </c>
      <c r="B7" s="46">
        <f ca="1">IFERROR(__xludf.DUMMYFUNCTION("""COMPUTED_VALUE"""),1)</f>
        <v>1</v>
      </c>
      <c r="C7" s="46" t="str">
        <f ca="1">IFERROR(__xludf.DUMMYFUNCTION("""COMPUTED_VALUE"""),"DOCUMENTOS EVALUADOS")</f>
        <v>DOCUMENTOS EVALUADOS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8">
        <f ca="1">IFERROR(__xludf.DUMMYFUNCTION("""COMPUTED_VALUE"""),0)</f>
        <v>0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IFERROR(__xludf.DUMMYFUNCTION("""COMPUTED_VALUE"""),0)</f>
        <v>0</v>
      </c>
    </row>
    <row r="8" spans="1:19">
      <c r="A8" s="46" t="str">
        <f ca="1">IFERROR(__xludf.DUMMYFUNCTION("""COMPUTED_VALUE"""),"OBSERVACIONES DE RESULTADOS DE DESEMPEÑO")</f>
        <v>OBSERVACIONES DE RESULTADOS DE DESEMPEÑO</v>
      </c>
      <c r="B8" s="46">
        <f ca="1">IFERROR(__xludf.DUMMYFUNCTION("""COMPUTED_VALUE"""),1)</f>
        <v>1</v>
      </c>
      <c r="C8" s="46" t="str">
        <f ca="1">IFERROR(__xludf.DUMMYFUNCTION("""COMPUTED_VALUE"""),"OBSERVACIONES")</f>
        <v>OBSERVACIONES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8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IFERROR(__xludf.DUMMYFUNCTION("""COMPUTED_VALUE"""),"AUDITORIA FINALIZADA")</f>
        <v>AUDITORIA FINALIZADA</v>
      </c>
      <c r="B9" s="46">
        <f ca="1">IFERROR(__xludf.DUMMYFUNCTION("""COMPUTED_VALUE"""),1)</f>
        <v>1</v>
      </c>
      <c r="C9" s="46" t="str">
        <f ca="1">IFERROR(__xludf.DUMMYFUNCTION("""COMPUTED_VALUE"""),"AUDITORIAS FINALIZADAS")</f>
        <v>AUDITORIAS FINALIZADAS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8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IFERROR(__xludf.DUMMYFUNCTION("""COMPUTED_VALUE"""),"AUDITORÍA A DELEGACIONES (FLUJO DE EFECTIVO EN CAJAS CHICAS Y RECEPCIÓN DE PAGOS) ")</f>
        <v xml:space="preserve">AUDITORÍA A DELEGACIONES (FLUJO DE EFECTIVO EN CAJAS CHICAS Y RECEPCIÓN DE PAGOS) </v>
      </c>
      <c r="B10" s="46">
        <f ca="1">IFERROR(__xludf.DUMMYFUNCTION("""COMPUTED_VALUE"""),1)</f>
        <v>1</v>
      </c>
      <c r="C10" s="46" t="str">
        <f ca="1">IFERROR(__xludf.DUMMYFUNCTION("""COMPUTED_VALUE"""),"AUDITORIAS")</f>
        <v>AUDITORIAS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8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IFERROR(__xludf.DUMMYFUNCTION("""COMPUTED_VALUE"""),"AUDITORÍA DE RECURSOS FEDERALES Y ESTATALES (PROGRAMAS DESTINADOS AL FORTALECIMIENTO MUNICIPAL)  ")</f>
        <v xml:space="preserve">AUDITORÍA DE RECURSOS FEDERALES Y ESTATALES (PROGRAMAS DESTINADOS AL FORTALECIMIENTO MUNICIPAL)  </v>
      </c>
      <c r="B11" s="46">
        <f ca="1">IFERROR(__xludf.DUMMYFUNCTION("""COMPUTED_VALUE"""),1)</f>
        <v>1</v>
      </c>
      <c r="C11" s="46" t="str">
        <f ca="1">IFERROR(__xludf.DUMMYFUNCTION("""COMPUTED_VALUE"""),"AUDITORIAS")</f>
        <v>AUDITORIAS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8">
        <f ca="1">IFERROR(__xludf.DUMMYFUNCTION("""COMPUTED_VALUE"""),0)</f>
        <v>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IFERROR(__xludf.DUMMYFUNCTION("""COMPUTED_VALUE"""),0)</f>
        <v>0</v>
      </c>
    </row>
    <row r="12" spans="1:19">
      <c r="A12" s="46" t="str">
        <f ca="1">IFERROR(__xludf.DUMMYFUNCTION("""COMPUTED_VALUE"""),"AUDITORÍA DE PROCEDIMIENTOS (REGISTRO CIVIL, LICENCIAS, MULTAS, Y RECARGOS)")</f>
        <v>AUDITORÍA DE PROCEDIMIENTOS (REGISTRO CIVIL, LICENCIAS, MULTAS, Y RECARGOS)</v>
      </c>
      <c r="B12" s="46">
        <f ca="1">IFERROR(__xludf.DUMMYFUNCTION("""COMPUTED_VALUE"""),1)</f>
        <v>1</v>
      </c>
      <c r="C12" s="46" t="str">
        <f ca="1">IFERROR(__xludf.DUMMYFUNCTION("""COMPUTED_VALUE"""),"AUDITORIAS")</f>
        <v>AUDITORIAS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8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IFERROR(__xludf.DUMMYFUNCTION("""COMPUTED_VALUE"""),"AUDITORÍA DE CAJAS EN TESORERÍA (EMISIÓN DE COMPROBANTES, REGLAMENTACIÓN, Y RESGUARDO DE INFORMACIÓN)")</f>
        <v>AUDITORÍA DE CAJAS EN TESORERÍA (EMISIÓN DE COMPROBANTES, REGLAMENTACIÓN, Y RESGUARDO DE INFORMACIÓN)</v>
      </c>
      <c r="B13" s="46">
        <f ca="1">IFERROR(__xludf.DUMMYFUNCTION("""COMPUTED_VALUE"""),1)</f>
        <v>1</v>
      </c>
      <c r="C13" s="46" t="str">
        <f ca="1">IFERROR(__xludf.DUMMYFUNCTION("""COMPUTED_VALUE"""),"AUDITORIAS")</f>
        <v>AUDITORIAS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8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IFERROR(__xludf.DUMMYFUNCTION("""COMPUTED_VALUE"""),"AUDITORÍA DEL PATRIMONIO MUNICIPAL (BIENES MUEBLES E INMUEBLES)")</f>
        <v>AUDITORÍA DEL PATRIMONIO MUNICIPAL (BIENES MUEBLES E INMUEBLES)</v>
      </c>
      <c r="B14" s="46">
        <f ca="1">IFERROR(__xludf.DUMMYFUNCTION("""COMPUTED_VALUE"""),1)</f>
        <v>1</v>
      </c>
      <c r="C14" s="46" t="str">
        <f ca="1">IFERROR(__xludf.DUMMYFUNCTION("""COMPUTED_VALUE"""),"AUDITORIAS")</f>
        <v>AUDITORIAS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8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IFERROR(__xludf.DUMMYFUNCTION("""COMPUTED_VALUE"""),"DECLARACIÓN PATRIMONIAL, INTERÉS Y FÍSCAL INICIALES")</f>
        <v>DECLARACIÓN PATRIMONIAL, INTERÉS Y FÍSCAL INICIALES</v>
      </c>
      <c r="B15" s="46">
        <f ca="1">IFERROR(__xludf.DUMMYFUNCTION("""COMPUTED_VALUE"""),1)</f>
        <v>1</v>
      </c>
      <c r="C15" s="46" t="str">
        <f ca="1">IFERROR(__xludf.DUMMYFUNCTION("""COMPUTED_VALUE"""),"DECLARACIONES ")</f>
        <v xml:space="preserve">DECLARACIONES 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8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IFERROR(__xludf.DUMMYFUNCTION("""COMPUTED_VALUE"""),"DECLARACIONES PATRIMONIALES DE CONCLUSIÓN")</f>
        <v>DECLARACIONES PATRIMONIALES DE CONCLUSIÓN</v>
      </c>
      <c r="B16" s="46">
        <f ca="1">IFERROR(__xludf.DUMMYFUNCTION("""COMPUTED_VALUE"""),1)</f>
        <v>1</v>
      </c>
      <c r="C16" s="46" t="str">
        <f ca="1">IFERROR(__xludf.DUMMYFUNCTION("""COMPUTED_VALUE"""),"DECLARACIONES ")</f>
        <v xml:space="preserve">DECLARACIONES 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8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IFERROR(__xludf.DUMMYFUNCTION("""COMPUTED_VALUE"""),"PROCEDIMIENTOS ADMINISTRATIVOS INICIADOS")</f>
        <v>PROCEDIMIENTOS ADMINISTRATIVOS INICIADOS</v>
      </c>
      <c r="B17" s="46">
        <f ca="1">IFERROR(__xludf.DUMMYFUNCTION("""COMPUTED_VALUE"""),1)</f>
        <v>1</v>
      </c>
      <c r="C17" s="46" t="str">
        <f ca="1">IFERROR(__xludf.DUMMYFUNCTION("""COMPUTED_VALUE"""),"DECLARACIONES ")</f>
        <v xml:space="preserve">DECLARACIONES 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8">
        <f ca="1">IFERROR(__xludf.DUMMYFUNCTION("""COMPUTED_VALUE"""),0)</f>
        <v>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IFERROR(__xludf.DUMMYFUNCTION("""COMPUTED_VALUE"""),0)</f>
        <v>0</v>
      </c>
    </row>
    <row r="18" spans="1:19">
      <c r="A18" s="46" t="str">
        <f ca="1">IFERROR(__xludf.DUMMYFUNCTION("""COMPUTED_VALUE"""),"PROCEDIMIENTOS ADMINISTRATIVOS EN PROCESO")</f>
        <v>PROCEDIMIENTOS ADMINISTRATIVOS EN PROCESO</v>
      </c>
      <c r="B18" s="46">
        <f ca="1">IFERROR(__xludf.DUMMYFUNCTION("""COMPUTED_VALUE"""),1)</f>
        <v>1</v>
      </c>
      <c r="C18" s="46" t="str">
        <f ca="1">IFERROR(__xludf.DUMMYFUNCTION("""COMPUTED_VALUE"""),"DECLARACIONES ")</f>
        <v xml:space="preserve">DECLARACIONES 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8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IFERROR(__xludf.DUMMYFUNCTION("""COMPUTED_VALUE"""),"PROCEDIMIENTOS ADMINISTRATIVOS TERMINADOS")</f>
        <v>PROCEDIMIENTOS ADMINISTRATIVOS TERMINADOS</v>
      </c>
      <c r="B19" s="46">
        <f ca="1">IFERROR(__xludf.DUMMYFUNCTION("""COMPUTED_VALUE"""),1)</f>
        <v>1</v>
      </c>
      <c r="C19" s="46" t="str">
        <f ca="1">IFERROR(__xludf.DUMMYFUNCTION("""COMPUTED_VALUE"""),"DECLARACIONES ")</f>
        <v xml:space="preserve">DECLARACIONES 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8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cols>
    <col min="1" max="1" width="29" customWidth="1"/>
  </cols>
  <sheetData>
    <row r="1" spans="1:19">
      <c r="A1" s="46" t="str">
        <f ca="1">IFERROR(__xludf.DUMMYFUNCTION("IMPORTRANGE(""https://docs.google.com/spreadsheets/d/1nl62gOYabBi8M9K4sAWzHs9aK0yg7okEE97_ISjk4YI/edit?gid=1892909280#gid=1892909280"",""01!A1:S"")"),"INDICADORES")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IFERROR(__xludf.DUMMYFUNCTION("""COMPUTED_VALUE"""),"PROCESOS DE LICITACION")</f>
        <v>PROCESOS DE LICITACION</v>
      </c>
      <c r="B2" s="46">
        <f ca="1">IFERROR(__xludf.DUMMYFUNCTION("""COMPUTED_VALUE"""),7)</f>
        <v>7</v>
      </c>
      <c r="C2" s="46" t="str">
        <f ca="1">IFERROR(__xludf.DUMMYFUNCTION("""COMPUTED_VALUE"""),"LICITACIONES")</f>
        <v>LICITACIONES</v>
      </c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IFERROR(__xludf.DUMMYFUNCTION("""COMPUTED_VALUE"""),71.4285714285714)</f>
        <v>71.428571428571402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IFERROR(__xludf.DUMMYFUNCTION("""COMPUTED_VALUE"""),1)</f>
        <v>1</v>
      </c>
      <c r="L2" s="48">
        <f ca="1">IFERROR(__xludf.DUMMYFUNCTION("""COMPUTED_VALUE"""),1)</f>
        <v>1</v>
      </c>
      <c r="M2" s="48">
        <f ca="1">IFERROR(__xludf.DUMMYFUNCTION("""COMPUTED_VALUE"""),2)</f>
        <v>2</v>
      </c>
      <c r="N2" s="48">
        <f ca="1">IFERROR(__xludf.DUMMYFUNCTION("""COMPUTED_VALUE"""),1)</f>
        <v>1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IFERROR(__xludf.DUMMYFUNCTION("""COMPUTED_VALUE"""),5)</f>
        <v>5</v>
      </c>
    </row>
    <row r="3" spans="1:19">
      <c r="A3" s="46" t="str">
        <f ca="1">IFERROR(__xludf.DUMMYFUNCTION("""COMPUTED_VALUE"""),"ADJUDICACIONES DIRECTAS")</f>
        <v>ADJUDICACIONES DIRECTAS</v>
      </c>
      <c r="B3" s="46">
        <f ca="1">IFERROR(__xludf.DUMMYFUNCTION("""COMPUTED_VALUE"""),5)</f>
        <v>5</v>
      </c>
      <c r="C3" s="46" t="str">
        <f ca="1">IFERROR(__xludf.DUMMYFUNCTION("""COMPUTED_VALUE"""),"ADJUDICACIONES DIRECTAS")</f>
        <v>ADJUDICACIONES DIRECTAS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IFERROR(__xludf.DUMMYFUNCTION("""COMPUTED_VALUE"""),60)</f>
        <v>60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IFERROR(__xludf.DUMMYFUNCTION("""COMPUTED_VALUE"""),1)</f>
        <v>1</v>
      </c>
      <c r="K3" s="48">
        <f ca="1">IFERROR(__xludf.DUMMYFUNCTION("""COMPUTED_VALUE"""),2)</f>
        <v>2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IFERROR(__xludf.DUMMYFUNCTION("""COMPUTED_VALUE"""),3)</f>
        <v>3</v>
      </c>
    </row>
    <row r="4" spans="1:19">
      <c r="A4" s="46" t="str">
        <f ca="1">IFERROR(__xludf.DUMMYFUNCTION("""COMPUTED_VALUE"""),"REQUISICIONES SURTIDAS")</f>
        <v>REQUISICIONES SURTIDAS</v>
      </c>
      <c r="B4" s="46">
        <f ca="1">IFERROR(__xludf.DUMMYFUNCTION("""COMPUTED_VALUE"""),2700)</f>
        <v>2700</v>
      </c>
      <c r="C4" s="46" t="str">
        <f ca="1">IFERROR(__xludf.DUMMYFUNCTION("""COMPUTED_VALUE"""),"REQUISICIONES")</f>
        <v>REQUISICIONES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IFERROR(__xludf.DUMMYFUNCTION("""COMPUTED_VALUE"""),156.962962962962)</f>
        <v>156.962962962962</v>
      </c>
      <c r="G4" s="48">
        <f ca="1">IFERROR(__xludf.DUMMYFUNCTION("""COMPUTED_VALUE"""),267)</f>
        <v>267</v>
      </c>
      <c r="H4" s="48">
        <f ca="1">IFERROR(__xludf.DUMMYFUNCTION("""COMPUTED_VALUE"""),250)</f>
        <v>250</v>
      </c>
      <c r="I4" s="48">
        <f ca="1">IFERROR(__xludf.DUMMYFUNCTION("""COMPUTED_VALUE"""),0)</f>
        <v>0</v>
      </c>
      <c r="J4" s="48">
        <f ca="1">IFERROR(__xludf.DUMMYFUNCTION("""COMPUTED_VALUE"""),299)</f>
        <v>299</v>
      </c>
      <c r="K4" s="48">
        <f ca="1">IFERROR(__xludf.DUMMYFUNCTION("""COMPUTED_VALUE"""),527)</f>
        <v>527</v>
      </c>
      <c r="L4" s="48">
        <f ca="1">IFERROR(__xludf.DUMMYFUNCTION("""COMPUTED_VALUE"""),0)</f>
        <v>0</v>
      </c>
      <c r="M4" s="48">
        <f ca="1">IFERROR(__xludf.DUMMYFUNCTION("""COMPUTED_VALUE"""),165)</f>
        <v>165</v>
      </c>
      <c r="N4" s="48">
        <f ca="1">IFERROR(__xludf.DUMMYFUNCTION("""COMPUTED_VALUE"""),587)</f>
        <v>587</v>
      </c>
      <c r="O4" s="48">
        <f ca="1">IFERROR(__xludf.DUMMYFUNCTION("""COMPUTED_VALUE"""),503)</f>
        <v>503</v>
      </c>
      <c r="P4" s="48">
        <f ca="1">IFERROR(__xludf.DUMMYFUNCTION("""COMPUTED_VALUE"""),544)</f>
        <v>544</v>
      </c>
      <c r="Q4" s="48">
        <f ca="1">IFERROR(__xludf.DUMMYFUNCTION("""COMPUTED_VALUE"""),689)</f>
        <v>689</v>
      </c>
      <c r="R4" s="48">
        <f ca="1">IFERROR(__xludf.DUMMYFUNCTION("""COMPUTED_VALUE"""),407)</f>
        <v>407</v>
      </c>
      <c r="S4" s="48">
        <f ca="1">IFERROR(__xludf.DUMMYFUNCTION("""COMPUTED_VALUE"""),4238)</f>
        <v>4238</v>
      </c>
    </row>
    <row r="5" spans="1:19">
      <c r="A5" s="46" t="str">
        <f ca="1">IFERROR(__xludf.DUMMYFUNCTION("""COMPUTED_VALUE"""),"VALES DE ALMACEN SURTIDOS")</f>
        <v>VALES DE ALMACEN SURTIDOS</v>
      </c>
      <c r="B5" s="46">
        <f ca="1">IFERROR(__xludf.DUMMYFUNCTION("""COMPUTED_VALUE"""),1400)</f>
        <v>1400</v>
      </c>
      <c r="C5" s="46" t="str">
        <f ca="1">IFERROR(__xludf.DUMMYFUNCTION("""COMPUTED_VALUE"""),"VALES DE ALMACEN")</f>
        <v>VALES DE ALMACEN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IFERROR(__xludf.DUMMYFUNCTION("""COMPUTED_VALUE"""),113.857142857142)</f>
        <v>113.85714285714199</v>
      </c>
      <c r="G5" s="48">
        <f ca="1">IFERROR(__xludf.DUMMYFUNCTION("""COMPUTED_VALUE"""),244)</f>
        <v>244</v>
      </c>
      <c r="H5" s="48">
        <f ca="1">IFERROR(__xludf.DUMMYFUNCTION("""COMPUTED_VALUE"""),161)</f>
        <v>161</v>
      </c>
      <c r="I5" s="48">
        <f ca="1">IFERROR(__xludf.DUMMYFUNCTION("""COMPUTED_VALUE"""),105)</f>
        <v>105</v>
      </c>
      <c r="J5" s="48">
        <f ca="1">IFERROR(__xludf.DUMMYFUNCTION("""COMPUTED_VALUE"""),138)</f>
        <v>138</v>
      </c>
      <c r="K5" s="48">
        <f ca="1">IFERROR(__xludf.DUMMYFUNCTION("""COMPUTED_VALUE"""),122)</f>
        <v>122</v>
      </c>
      <c r="L5" s="48">
        <f ca="1">IFERROR(__xludf.DUMMYFUNCTION("""COMPUTED_VALUE"""),114)</f>
        <v>114</v>
      </c>
      <c r="M5" s="48">
        <f ca="1">IFERROR(__xludf.DUMMYFUNCTION("""COMPUTED_VALUE"""),92)</f>
        <v>92</v>
      </c>
      <c r="N5" s="48">
        <f ca="1">IFERROR(__xludf.DUMMYFUNCTION("""COMPUTED_VALUE"""),148)</f>
        <v>148</v>
      </c>
      <c r="O5" s="48">
        <f ca="1">IFERROR(__xludf.DUMMYFUNCTION("""COMPUTED_VALUE"""),115)</f>
        <v>115</v>
      </c>
      <c r="P5" s="48">
        <f ca="1">IFERROR(__xludf.DUMMYFUNCTION("""COMPUTED_VALUE"""),121)</f>
        <v>121</v>
      </c>
      <c r="Q5" s="48">
        <f ca="1">IFERROR(__xludf.DUMMYFUNCTION("""COMPUTED_VALUE"""),105)</f>
        <v>105</v>
      </c>
      <c r="R5" s="48">
        <f ca="1">IFERROR(__xludf.DUMMYFUNCTION("""COMPUTED_VALUE"""),129)</f>
        <v>129</v>
      </c>
      <c r="S5" s="48">
        <f ca="1">IFERROR(__xludf.DUMMYFUNCTION("""COMPUTED_VALUE"""),1594)</f>
        <v>1594</v>
      </c>
    </row>
    <row r="6" spans="1:19">
      <c r="A6" s="46" t="str">
        <f ca="1">IFERROR(__xludf.DUMMYFUNCTION("""COMPUTED_VALUE"""),"AUTOMOVILES")</f>
        <v>AUTOMOVILES</v>
      </c>
      <c r="B6" s="46">
        <f ca="1">IFERROR(__xludf.DUMMYFUNCTION("""COMPUTED_VALUE"""),15)</f>
        <v>15</v>
      </c>
      <c r="C6" s="46" t="str">
        <f ca="1">IFERROR(__xludf.DUMMYFUNCTION("""COMPUTED_VALUE"""),"VEHICULOS DEL AYUNTAMIENTO")</f>
        <v>VEHICULOS DEL AYUNTAMIENTO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IFERROR(__xludf.DUMMYFUNCTION("""COMPUTED_VALUE"""),20)</f>
        <v>20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IFERROR(__xludf.DUMMYFUNCTION("""COMPUTED_VALUE"""),2)</f>
        <v>2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IFERROR(__xludf.DUMMYFUNCTION("""COMPUTED_VALUE"""),1)</f>
        <v>1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IFERROR(__xludf.DUMMYFUNCTION("""COMPUTED_VALUE"""),3)</f>
        <v>3</v>
      </c>
    </row>
    <row r="7" spans="1:19">
      <c r="A7" s="46" t="str">
        <f ca="1">IFERROR(__xludf.DUMMYFUNCTION("""COMPUTED_VALUE"""),"CAMIONETAS PICK UP")</f>
        <v>CAMIONETAS PICK UP</v>
      </c>
      <c r="B7" s="46">
        <f ca="1">IFERROR(__xludf.DUMMYFUNCTION("""COMPUTED_VALUE"""),5)</f>
        <v>5</v>
      </c>
      <c r="C7" s="46" t="str">
        <f ca="1">IFERROR(__xludf.DUMMYFUNCTION("""COMPUTED_VALUE"""),"VEHICULOS DEL AYUNTAMIENTO")</f>
        <v>VEHICULOS DEL AYUNTAMIENTO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IFERROR(__xludf.DUMMYFUNCTION("""COMPUTED_VALUE"""),320)</f>
        <v>320</v>
      </c>
      <c r="G7" s="48">
        <f ca="1">IFERROR(__xludf.DUMMYFUNCTION("""COMPUTED_VALUE"""),5)</f>
        <v>5</v>
      </c>
      <c r="H7" s="48">
        <f ca="1">IFERROR(__xludf.DUMMYFUNCTION("""COMPUTED_VALUE"""),8)</f>
        <v>8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IFERROR(__xludf.DUMMYFUNCTION("""COMPUTED_VALUE"""),2)</f>
        <v>2</v>
      </c>
      <c r="L7" s="48">
        <f ca="1">IFERROR(__xludf.DUMMYFUNCTION("""COMPUTED_VALUE"""),0)</f>
        <v>0</v>
      </c>
      <c r="M7" s="48">
        <f ca="1">IFERROR(__xludf.DUMMYFUNCTION("""COMPUTED_VALUE"""),1)</f>
        <v>1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IFERROR(__xludf.DUMMYFUNCTION("""COMPUTED_VALUE"""),16)</f>
        <v>16</v>
      </c>
    </row>
    <row r="8" spans="1:19">
      <c r="A8" s="46" t="str">
        <f ca="1">IFERROR(__xludf.DUMMYFUNCTION("""COMPUTED_VALUE"""),"MOTOCICLETAS")</f>
        <v>MOTOCICLETAS</v>
      </c>
      <c r="B8" s="46">
        <f ca="1">IFERROR(__xludf.DUMMYFUNCTION("""COMPUTED_VALUE"""),6)</f>
        <v>6</v>
      </c>
      <c r="C8" s="46" t="str">
        <f ca="1">IFERROR(__xludf.DUMMYFUNCTION("""COMPUTED_VALUE"""),"VEHICULOS DEL AYUNTAMIENTO")</f>
        <v>VEHICULOS DEL AYUNTAMIENTO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IFERROR(__xludf.DUMMYFUNCTION("""COMPUTED_VALUE"""),283.333333333333)</f>
        <v>283.33333333333297</v>
      </c>
      <c r="G8" s="48">
        <f ca="1">IFERROR(__xludf.DUMMYFUNCTION("""COMPUTED_VALUE"""),13)</f>
        <v>13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IFERROR(__xludf.DUMMYFUNCTION("""COMPUTED_VALUE"""),1)</f>
        <v>1</v>
      </c>
      <c r="M8" s="48">
        <f ca="1">IFERROR(__xludf.DUMMYFUNCTION("""COMPUTED_VALUE"""),1)</f>
        <v>1</v>
      </c>
      <c r="N8" s="48">
        <f ca="1">IFERROR(__xludf.DUMMYFUNCTION("""COMPUTED_VALUE"""),1)</f>
        <v>1</v>
      </c>
      <c r="O8" s="48">
        <f ca="1">IFERROR(__xludf.DUMMYFUNCTION("""COMPUTED_VALUE"""),1)</f>
        <v>1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IFERROR(__xludf.DUMMYFUNCTION("""COMPUTED_VALUE"""),17)</f>
        <v>17</v>
      </c>
    </row>
    <row r="9" spans="1:19">
      <c r="A9" s="46" t="str">
        <f ca="1">IFERROR(__xludf.DUMMYFUNCTION("""COMPUTED_VALUE"""),"CAMIONETAS DE CARGA LIVIANA")</f>
        <v>CAMIONETAS DE CARGA LIVIANA</v>
      </c>
      <c r="B9" s="46">
        <f ca="1">IFERROR(__xludf.DUMMYFUNCTION("""COMPUTED_VALUE"""),2)</f>
        <v>2</v>
      </c>
      <c r="C9" s="46" t="str">
        <f ca="1">IFERROR(__xludf.DUMMYFUNCTION("""COMPUTED_VALUE"""),"VEHICULOS DEL AYUNTAMIENTO")</f>
        <v>VEHICULOS DEL AYUNTAMIENTO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IFERROR(__xludf.DUMMYFUNCTION("""COMPUTED_VALUE"""),50)</f>
        <v>50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IFERROR(__xludf.DUMMYFUNCTION("""COMPUTED_VALUE"""),1)</f>
        <v>1</v>
      </c>
      <c r="R9" s="48">
        <f ca="1">IFERROR(__xludf.DUMMYFUNCTION("""COMPUTED_VALUE"""),0)</f>
        <v>0</v>
      </c>
      <c r="S9" s="48">
        <f ca="1">IFERROR(__xludf.DUMMYFUNCTION("""COMPUTED_VALUE"""),1)</f>
        <v>1</v>
      </c>
    </row>
    <row r="10" spans="1:19">
      <c r="A10" s="46" t="str">
        <f ca="1">IFERROR(__xludf.DUMMYFUNCTION("""COMPUTED_VALUE"""),"CAMIONES DE CARGA")</f>
        <v>CAMIONES DE CARGA</v>
      </c>
      <c r="B10" s="46">
        <f ca="1">IFERROR(__xludf.DUMMYFUNCTION("""COMPUTED_VALUE"""),1)</f>
        <v>1</v>
      </c>
      <c r="C10" s="46" t="str">
        <f ca="1">IFERROR(__xludf.DUMMYFUNCTION("""COMPUTED_VALUE"""),"VEHICULOS DEL AYUNTAMIENTO")</f>
        <v>VEHICULOS DEL AYUNTAMIENTO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IFERROR(__xludf.DUMMYFUNCTION("""COMPUTED_VALUE"""),"CAMIONES DE PASAJEROS")</f>
        <v>CAMIONES DE PASAJEROS</v>
      </c>
      <c r="B11" s="46">
        <f ca="1">IFERROR(__xludf.DUMMYFUNCTION("""COMPUTED_VALUE"""),1)</f>
        <v>1</v>
      </c>
      <c r="C11" s="46" t="str">
        <f ca="1">IFERROR(__xludf.DUMMYFUNCTION("""COMPUTED_VALUE"""),"VEHICULOS DEL AYUNTAMIENTO")</f>
        <v>VEHICULOS DEL AYUNTAMIENTO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IFERROR(__xludf.DUMMYFUNCTION("""COMPUTED_VALUE"""),200)</f>
        <v>200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IFERROR(__xludf.DUMMYFUNCTION("""COMPUTED_VALUE"""),2)</f>
        <v>2</v>
      </c>
      <c r="R11" s="48">
        <f ca="1">IFERROR(__xludf.DUMMYFUNCTION("""COMPUTED_VALUE"""),0)</f>
        <v>0</v>
      </c>
      <c r="S11" s="48">
        <f ca="1">IFERROR(__xludf.DUMMYFUNCTION("""COMPUTED_VALUE"""),2)</f>
        <v>2</v>
      </c>
    </row>
    <row r="12" spans="1:19">
      <c r="A12" s="46" t="str">
        <f ca="1">IFERROR(__xludf.DUMMYFUNCTION("""COMPUTED_VALUE"""),"MAQUINARIA PESADA")</f>
        <v>MAQUINARIA PESADA</v>
      </c>
      <c r="B12" s="46">
        <f ca="1">IFERROR(__xludf.DUMMYFUNCTION("""COMPUTED_VALUE"""),1)</f>
        <v>1</v>
      </c>
      <c r="C12" s="46" t="str">
        <f ca="1">IFERROR(__xludf.DUMMYFUNCTION("""COMPUTED_VALUE"""),"VEHICULOS DEL AYUNTAMIENTO")</f>
        <v>VEHICULOS DEL AYUNTAMIENTO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IFERROR(__xludf.DUMMYFUNCTION("""COMPUTED_VALUE"""),"DESINCORPORACIÓN DE VEHÍCULOS DEL PARQUE VEHICULAR")</f>
        <v>DESINCORPORACIÓN DE VEHÍCULOS DEL PARQUE VEHICULAR</v>
      </c>
      <c r="B13" s="46">
        <f ca="1">IFERROR(__xludf.DUMMYFUNCTION("""COMPUTED_VALUE"""),1)</f>
        <v>1</v>
      </c>
      <c r="C13" s="46" t="str">
        <f ca="1">IFERROR(__xludf.DUMMYFUNCTION("""COMPUTED_VALUE"""),"VEHICULOS DEL AYUNTAMIENTO")</f>
        <v>VEHICULOS DEL AYUNTAMIENTO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IFERROR(__xludf.DUMMYFUNCTION("""COMPUTED_VALUE"""),"RESGUARDOS DE VEHICULOS")</f>
        <v>RESGUARDOS DE VEHICULOS</v>
      </c>
      <c r="B14" s="46">
        <f ca="1">IFERROR(__xludf.DUMMYFUNCTION("""COMPUTED_VALUE"""),40)</f>
        <v>40</v>
      </c>
      <c r="C14" s="46" t="str">
        <f ca="1">IFERROR(__xludf.DUMMYFUNCTION("""COMPUTED_VALUE"""),"VEHICULOS DEL AYUNTAMIENTO")</f>
        <v>VEHICULOS DEL AYUNTAMIENTO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IFERROR(__xludf.DUMMYFUNCTION("""COMPUTED_VALUE"""),127.499999999999)</f>
        <v>127.49999999999901</v>
      </c>
      <c r="G14" s="48">
        <f ca="1">IFERROR(__xludf.DUMMYFUNCTION("""COMPUTED_VALUE"""),8)</f>
        <v>8</v>
      </c>
      <c r="H14" s="48">
        <f ca="1">IFERROR(__xludf.DUMMYFUNCTION("""COMPUTED_VALUE"""),8)</f>
        <v>8</v>
      </c>
      <c r="I14" s="48">
        <f ca="1">IFERROR(__xludf.DUMMYFUNCTION("""COMPUTED_VALUE"""),0)</f>
        <v>0</v>
      </c>
      <c r="J14" s="48">
        <f ca="1">IFERROR(__xludf.DUMMYFUNCTION("""COMPUTED_VALUE"""),5)</f>
        <v>5</v>
      </c>
      <c r="K14" s="48">
        <f ca="1">IFERROR(__xludf.DUMMYFUNCTION("""COMPUTED_VALUE"""),20)</f>
        <v>20</v>
      </c>
      <c r="L14" s="48">
        <f ca="1">IFERROR(__xludf.DUMMYFUNCTION("""COMPUTED_VALUE"""),6)</f>
        <v>6</v>
      </c>
      <c r="M14" s="48">
        <f ca="1">IFERROR(__xludf.DUMMYFUNCTION("""COMPUTED_VALUE"""),2)</f>
        <v>2</v>
      </c>
      <c r="N14" s="48">
        <f ca="1">IFERROR(__xludf.DUMMYFUNCTION("""COMPUTED_VALUE"""),1)</f>
        <v>1</v>
      </c>
      <c r="O14" s="48">
        <f ca="1">IFERROR(__xludf.DUMMYFUNCTION("""COMPUTED_VALUE"""),1)</f>
        <v>1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IFERROR(__xludf.DUMMYFUNCTION("""COMPUTED_VALUE"""),51)</f>
        <v>51</v>
      </c>
    </row>
    <row r="15" spans="1:19">
      <c r="A15" s="46" t="str">
        <f ca="1">IFERROR(__xludf.DUMMYFUNCTION("""COMPUTED_VALUE"""),"REFRENDOS ANUALES")</f>
        <v>REFRENDOS ANUALES</v>
      </c>
      <c r="B15" s="46">
        <f ca="1">IFERROR(__xludf.DUMMYFUNCTION("""COMPUTED_VALUE"""),205)</f>
        <v>205</v>
      </c>
      <c r="C15" s="46" t="str">
        <f ca="1">IFERROR(__xludf.DUMMYFUNCTION("""COMPUTED_VALUE"""),"VEHICULOS DEL AYUNTAMIENTO")</f>
        <v>VEHICULOS DEL AYUNTAMIENTO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IFERROR(__xludf.DUMMYFUNCTION("""COMPUTED_VALUE"""),98.5365853658536)</f>
        <v>98.536585365853597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IFERROR(__xludf.DUMMYFUNCTION("""COMPUTED_VALUE"""),202)</f>
        <v>202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IFERROR(__xludf.DUMMYFUNCTION("""COMPUTED_VALUE"""),202)</f>
        <v>202</v>
      </c>
    </row>
    <row r="16" spans="1:19">
      <c r="A16" s="46" t="str">
        <f ca="1">IFERROR(__xludf.DUMMYFUNCTION("""COMPUTED_VALUE"""),"CONTROL Y PAGO DE INFRACCIONES")</f>
        <v>CONTROL Y PAGO DE INFRACCIONES</v>
      </c>
      <c r="B16" s="46">
        <f ca="1">IFERROR(__xludf.DUMMYFUNCTION("""COMPUTED_VALUE"""),15)</f>
        <v>15</v>
      </c>
      <c r="C16" s="46" t="str">
        <f ca="1">IFERROR(__xludf.DUMMYFUNCTION("""COMPUTED_VALUE"""),"INFRACCIONES")</f>
        <v>INFRACCIONES</v>
      </c>
      <c r="D16" s="46" t="str">
        <f ca="1">IFERROR(__xludf.DUMMYFUNCTION("""COMPUTED_VALUE"""),"DECENDENTE")</f>
        <v>DECENDENTE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IFERROR(__xludf.DUMMYFUNCTION("""COMPUTED_VALUE"""),"POLIZAS DE SEGURO")</f>
        <v>POLIZAS DE SEGURO</v>
      </c>
      <c r="B17" s="46">
        <f ca="1">IFERROR(__xludf.DUMMYFUNCTION("""COMPUTED_VALUE"""),10)</f>
        <v>10</v>
      </c>
      <c r="C17" s="46" t="str">
        <f ca="1">IFERROR(__xludf.DUMMYFUNCTION("""COMPUTED_VALUE"""),"POLIZAS")</f>
        <v>POLIZAS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IFERROR(__xludf.DUMMYFUNCTION("""COMPUTED_VALUE"""),50)</f>
        <v>50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IFERROR(__xludf.DUMMYFUNCTION("""COMPUTED_VALUE"""),1)</f>
        <v>1</v>
      </c>
      <c r="L17" s="48">
        <f ca="1">IFERROR(__xludf.DUMMYFUNCTION("""COMPUTED_VALUE"""),1)</f>
        <v>1</v>
      </c>
      <c r="M17" s="48">
        <f ca="1">IFERROR(__xludf.DUMMYFUNCTION("""COMPUTED_VALUE"""),2)</f>
        <v>2</v>
      </c>
      <c r="N17" s="48">
        <f ca="1">IFERROR(__xludf.DUMMYFUNCTION("""COMPUTED_VALUE"""),1)</f>
        <v>1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IFERROR(__xludf.DUMMYFUNCTION("""COMPUTED_VALUE"""),5)</f>
        <v>5</v>
      </c>
    </row>
    <row r="18" spans="1:19">
      <c r="A18" s="46" t="str">
        <f ca="1">IFERROR(__xludf.DUMMYFUNCTION("""COMPUTED_VALUE"""),"INVENTARIO DE BIENES MUEBLES")</f>
        <v>INVENTARIO DE BIENES MUEBLES</v>
      </c>
      <c r="B18" s="46">
        <f ca="1">IFERROR(__xludf.DUMMYFUNCTION("""COMPUTED_VALUE"""),1800)</f>
        <v>1800</v>
      </c>
      <c r="C18" s="46" t="str">
        <f ca="1">IFERROR(__xludf.DUMMYFUNCTION("""COMPUTED_VALUE"""),"BIENES PATRIMONIADOS")</f>
        <v>BIENES PATRIMONIADOS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IFERROR(__xludf.DUMMYFUNCTION("""COMPUTED_VALUE"""),"DESINCORPORACIÓN DE BIENES MUEBLES")</f>
        <v>DESINCORPORACIÓN DE BIENES MUEBLES</v>
      </c>
      <c r="B19" s="46">
        <f ca="1">IFERROR(__xludf.DUMMYFUNCTION("""COMPUTED_VALUE"""),100)</f>
        <v>100</v>
      </c>
      <c r="C19" s="46" t="str">
        <f ca="1">IFERROR(__xludf.DUMMYFUNCTION("""COMPUTED_VALUE"""),"BIENES PATRIMONIADOS")</f>
        <v>BIENES PATRIMONIADOS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 t="str">
        <f ca="1">IFERROR(__xludf.DUMMYFUNCTION("""COMPUTED_VALUE"""),"INVENTARIO DE BIENES INMUEBLES")</f>
        <v>INVENTARIO DE BIENES INMUEBLES</v>
      </c>
      <c r="B20" s="46">
        <f ca="1">IFERROR(__xludf.DUMMYFUNCTION("""COMPUTED_VALUE"""),3)</f>
        <v>3</v>
      </c>
      <c r="C20" s="46" t="str">
        <f ca="1">IFERROR(__xludf.DUMMYFUNCTION("""COMPUTED_VALUE"""),"BIENES PATRIMONIADOS")</f>
        <v>BIENES PATRIMONIADOS</v>
      </c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IFERROR(__xludf.DUMMYFUNCTION("""COMPUTED_VALUE"""),100)</f>
        <v>100</v>
      </c>
      <c r="G20" s="48">
        <f ca="1">IFERROR(__xludf.DUMMYFUNCTION("""COMPUTED_VALUE"""),0)</f>
        <v>0</v>
      </c>
      <c r="H20" s="48">
        <f ca="1">IFERROR(__xludf.DUMMYFUNCTION("""COMPUTED_VALUE"""),0)</f>
        <v>0</v>
      </c>
      <c r="I20" s="48">
        <f ca="1">IFERROR(__xludf.DUMMYFUNCTION("""COMPUTED_VALUE"""),0)</f>
        <v>0</v>
      </c>
      <c r="J20" s="48">
        <f ca="1">IFERROR(__xludf.DUMMYFUNCTION("""COMPUTED_VALUE"""),1)</f>
        <v>1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IFERROR(__xludf.DUMMYFUNCTION("""COMPUTED_VALUE"""),1)</f>
        <v>1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IFERROR(__xludf.DUMMYFUNCTION("""COMPUTED_VALUE"""),1)</f>
        <v>1</v>
      </c>
      <c r="S20" s="48">
        <f ca="1">IFERROR(__xludf.DUMMYFUNCTION("""COMPUTED_VALUE"""),3)</f>
        <v>3</v>
      </c>
    </row>
    <row r="21" spans="1:19">
      <c r="A21" s="46" t="str">
        <f ca="1">IFERROR(__xludf.DUMMYFUNCTION("""COMPUTED_VALUE"""),"DESINCORPORACIÓN DE BIENES  INMUEBLES")</f>
        <v>DESINCORPORACIÓN DE BIENES  INMUEBLES</v>
      </c>
      <c r="B21" s="46">
        <f ca="1">IFERROR(__xludf.DUMMYFUNCTION("""COMPUTED_VALUE"""),3)</f>
        <v>3</v>
      </c>
      <c r="C21" s="46" t="str">
        <f ca="1">IFERROR(__xludf.DUMMYFUNCTION("""COMPUTED_VALUE"""),"BIENES PATRIMONIADOS")</f>
        <v>BIENES PATRIMONIADOS</v>
      </c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IFERROR(__xludf.DUMMYFUNCTION("""COMPUTED_VALUE"""),0)</f>
        <v>0</v>
      </c>
      <c r="G21" s="48">
        <f ca="1">IFERROR(__xludf.DUMMYFUNCTION("""COMPUTED_VALUE"""),0)</f>
        <v>0</v>
      </c>
      <c r="H21" s="48">
        <f ca="1">IFERROR(__xludf.DUMMYFUNCTION("""COMPUTED_VALUE"""),0)</f>
        <v>0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IFERROR(__xludf.DUMMYFUNCTION("""COMPUTED_VALUE"""),0)</f>
        <v>0</v>
      </c>
    </row>
    <row r="22" spans="1:19">
      <c r="A22" s="46" t="str">
        <f ca="1">IFERROR(__xludf.DUMMYFUNCTION("""COMPUTED_VALUE"""),"VERIFICACION DE VEHICULOS")</f>
        <v>VERIFICACION DE VEHICULOS</v>
      </c>
      <c r="B22" s="46">
        <f ca="1">IFERROR(__xludf.DUMMYFUNCTION("""COMPUTED_VALUE"""),58)</f>
        <v>58</v>
      </c>
      <c r="C22" s="46" t="str">
        <f ca="1">IFERROR(__xludf.DUMMYFUNCTION("""COMPUTED_VALUE"""),"VEHICULOS VERIFICADOS")</f>
        <v>VEHICULOS VERIFICADOS</v>
      </c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IFERROR(__xludf.DUMMYFUNCTION("""COMPUTED_VALUE"""),127.586206896551)</f>
        <v>127.586206896551</v>
      </c>
      <c r="G22" s="48">
        <f ca="1">IFERROR(__xludf.DUMMYFUNCTION("""COMPUTED_VALUE"""),0)</f>
        <v>0</v>
      </c>
      <c r="H22" s="48">
        <f ca="1">IFERROR(__xludf.DUMMYFUNCTION("""COMPUTED_VALUE"""),0)</f>
        <v>0</v>
      </c>
      <c r="I22" s="48">
        <f ca="1">IFERROR(__xludf.DUMMYFUNCTION("""COMPUTED_VALUE"""),0)</f>
        <v>0</v>
      </c>
      <c r="J22" s="48">
        <f ca="1">IFERROR(__xludf.DUMMYFUNCTION("""COMPUTED_VALUE"""),23)</f>
        <v>23</v>
      </c>
      <c r="K22" s="48">
        <f ca="1">IFERROR(__xludf.DUMMYFUNCTION("""COMPUTED_VALUE"""),0)</f>
        <v>0</v>
      </c>
      <c r="L22" s="48">
        <f ca="1">IFERROR(__xludf.DUMMYFUNCTION("""COMPUTED_VALUE"""),1)</f>
        <v>1</v>
      </c>
      <c r="M22" s="48">
        <f ca="1">IFERROR(__xludf.DUMMYFUNCTION("""COMPUTED_VALUE"""),1)</f>
        <v>1</v>
      </c>
      <c r="N22" s="48">
        <f ca="1">IFERROR(__xludf.DUMMYFUNCTION("""COMPUTED_VALUE"""),5)</f>
        <v>5</v>
      </c>
      <c r="O22" s="48">
        <f ca="1">IFERROR(__xludf.DUMMYFUNCTION("""COMPUTED_VALUE"""),25)</f>
        <v>25</v>
      </c>
      <c r="P22" s="48">
        <f ca="1">IFERROR(__xludf.DUMMYFUNCTION("""COMPUTED_VALUE"""),0)</f>
        <v>0</v>
      </c>
      <c r="Q22" s="48">
        <f ca="1">IFERROR(__xludf.DUMMYFUNCTION("""COMPUTED_VALUE"""),19)</f>
        <v>19</v>
      </c>
      <c r="R22" s="48">
        <f ca="1">IFERROR(__xludf.DUMMYFUNCTION("""COMPUTED_VALUE"""),0)</f>
        <v>0</v>
      </c>
      <c r="S22" s="48">
        <f ca="1">IFERROR(__xludf.DUMMYFUNCTION("""COMPUTED_VALUE"""),74)</f>
        <v>74</v>
      </c>
    </row>
    <row r="23" spans="1:19">
      <c r="A23" s="46" t="str">
        <f ca="1">IFERROR(__xludf.DUMMYFUNCTION("""COMPUTED_VALUE"""),"RADIOS DE COMUNICACIÓN ")</f>
        <v xml:space="preserve">RADIOS DE COMUNICACIÓN </v>
      </c>
      <c r="B23" s="46">
        <f ca="1">IFERROR(__xludf.DUMMYFUNCTION("""COMPUTED_VALUE"""),10)</f>
        <v>10</v>
      </c>
      <c r="C23" s="46" t="str">
        <f ca="1">IFERROR(__xludf.DUMMYFUNCTION("""COMPUTED_VALUE"""),"RADIOS DE COMUNICACION ADQUIRIDOS")</f>
        <v>RADIOS DE COMUNICACION ADQUIRIDOS</v>
      </c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IFERROR(__xludf.DUMMYFUNCTION("""COMPUTED_VALUE"""),30)</f>
        <v>30</v>
      </c>
      <c r="G23" s="48">
        <f ca="1">IFERROR(__xludf.DUMMYFUNCTION("""COMPUTED_VALUE"""),0)</f>
        <v>0</v>
      </c>
      <c r="H23" s="48">
        <f ca="1">IFERROR(__xludf.DUMMYFUNCTION("""COMPUTED_VALUE"""),0)</f>
        <v>0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IFERROR(__xludf.DUMMYFUNCTION("""COMPUTED_VALUE"""),0)</f>
        <v>0</v>
      </c>
      <c r="N23" s="48">
        <f ca="1">IFERROR(__xludf.DUMMYFUNCTION("""COMPUTED_VALUE"""),0)</f>
        <v>0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IFERROR(__xludf.DUMMYFUNCTION("""COMPUTED_VALUE"""),3)</f>
        <v>3</v>
      </c>
      <c r="S23" s="48">
        <f ca="1">IFERROR(__xludf.DUMMYFUNCTION("""COMPUTED_VALUE"""),3)</f>
        <v>3</v>
      </c>
    </row>
    <row r="24" spans="1:19">
      <c r="A24" s="46" t="str">
        <f ca="1">IFERROR(__xludf.DUMMYFUNCTION("""COMPUTED_VALUE"""),"TELEFONOS MOVILES ")</f>
        <v xml:space="preserve">TELEFONOS MOVILES </v>
      </c>
      <c r="B24" s="46">
        <f ca="1">IFERROR(__xludf.DUMMYFUNCTION("""COMPUTED_VALUE"""),40)</f>
        <v>40</v>
      </c>
      <c r="C24" s="46" t="str">
        <f ca="1">IFERROR(__xludf.DUMMYFUNCTION("""COMPUTED_VALUE"""),"TELEFONOS MOVILES ADQUIRIDOS")</f>
        <v>TELEFONOS MOVILES ADQUIRIDOS</v>
      </c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IFERROR(__xludf.DUMMYFUNCTION("""COMPUTED_VALUE"""),90)</f>
        <v>90</v>
      </c>
      <c r="G24" s="48">
        <f ca="1">IFERROR(__xludf.DUMMYFUNCTION("""COMPUTED_VALUE"""),0)</f>
        <v>0</v>
      </c>
      <c r="H24" s="48">
        <f ca="1">IFERROR(__xludf.DUMMYFUNCTION("""COMPUTED_VALUE"""),0)</f>
        <v>0</v>
      </c>
      <c r="I24" s="48">
        <f ca="1">IFERROR(__xludf.DUMMYFUNCTION("""COMPUTED_VALUE"""),0)</f>
        <v>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IFERROR(__xludf.DUMMYFUNCTION("""COMPUTED_VALUE"""),2)</f>
        <v>2</v>
      </c>
      <c r="N24" s="48">
        <f ca="1">IFERROR(__xludf.DUMMYFUNCTION("""COMPUTED_VALUE"""),14)</f>
        <v>14</v>
      </c>
      <c r="O24" s="48">
        <f ca="1">IFERROR(__xludf.DUMMYFUNCTION("""COMPUTED_VALUE"""),20)</f>
        <v>20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IFERROR(__xludf.DUMMYFUNCTION("""COMPUTED_VALUE"""),36)</f>
        <v>36</v>
      </c>
    </row>
    <row r="25" spans="1:19">
      <c r="A25" s="46" t="str">
        <f ca="1">IFERROR(__xludf.DUMMYFUNCTION("""COMPUTED_VALUE"""),"TOTAL DE PLANTILLA DE PERSONAL")</f>
        <v>TOTAL DE PLANTILLA DE PERSONAL</v>
      </c>
      <c r="B25" s="46">
        <f ca="1">IFERROR(__xludf.DUMMYFUNCTION("""COMPUTED_VALUE"""),750)</f>
        <v>750</v>
      </c>
      <c r="C25" s="46" t="str">
        <f ca="1">IFERROR(__xludf.DUMMYFUNCTION("""COMPUTED_VALUE"""),"PLANTILLA DE PERSONAL")</f>
        <v>PLANTILLA DE PERSONAL</v>
      </c>
      <c r="D25" s="46" t="str">
        <f ca="1">IFERROR(__xludf.DUMMYFUNCTION("""COMPUTED_VALUE"""),"DECENDENTE")</f>
        <v>DECENDENTE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IFERROR(__xludf.DUMMYFUNCTION("""COMPUTED_VALUE"""),92.9555555555555)</f>
        <v>92.955555555555506</v>
      </c>
      <c r="G25" s="48">
        <f ca="1">IFERROR(__xludf.DUMMYFUNCTION("""COMPUTED_VALUE"""),730)</f>
        <v>730</v>
      </c>
      <c r="H25" s="48">
        <f ca="1">IFERROR(__xludf.DUMMYFUNCTION("""COMPUTED_VALUE"""),746)</f>
        <v>746</v>
      </c>
      <c r="I25" s="48">
        <f ca="1">IFERROR(__xludf.DUMMYFUNCTION("""COMPUTED_VALUE"""),737)</f>
        <v>737</v>
      </c>
      <c r="J25" s="48">
        <f ca="1">IFERROR(__xludf.DUMMYFUNCTION("""COMPUTED_VALUE"""),0)</f>
        <v>0</v>
      </c>
      <c r="K25" s="48">
        <f ca="1">IFERROR(__xludf.DUMMYFUNCTION("""COMPUTED_VALUE"""),757)</f>
        <v>757</v>
      </c>
      <c r="L25" s="48">
        <f ca="1">IFERROR(__xludf.DUMMYFUNCTION("""COMPUTED_VALUE"""),761)</f>
        <v>761</v>
      </c>
      <c r="M25" s="48">
        <f ca="1">IFERROR(__xludf.DUMMYFUNCTION("""COMPUTED_VALUE"""),768)</f>
        <v>768</v>
      </c>
      <c r="N25" s="48">
        <f ca="1">IFERROR(__xludf.DUMMYFUNCTION("""COMPUTED_VALUE"""),775)</f>
        <v>775</v>
      </c>
      <c r="O25" s="48">
        <f ca="1">IFERROR(__xludf.DUMMYFUNCTION("""COMPUTED_VALUE"""),775)</f>
        <v>775</v>
      </c>
      <c r="P25" s="48">
        <f ca="1">IFERROR(__xludf.DUMMYFUNCTION("""COMPUTED_VALUE"""),764)</f>
        <v>764</v>
      </c>
      <c r="Q25" s="48">
        <f ca="1">IFERROR(__xludf.DUMMYFUNCTION("""COMPUTED_VALUE"""),773)</f>
        <v>773</v>
      </c>
      <c r="R25" s="48">
        <f ca="1">IFERROR(__xludf.DUMMYFUNCTION("""COMPUTED_VALUE"""),780)</f>
        <v>780</v>
      </c>
      <c r="S25" s="48">
        <f ca="1">IFERROR(__xludf.DUMMYFUNCTION("""COMPUTED_VALUE"""),697.166666666666)</f>
        <v>697.16666666666595</v>
      </c>
    </row>
    <row r="26" spans="1:19">
      <c r="A26" s="46" t="str">
        <f ca="1">IFERROR(__xludf.DUMMYFUNCTION("""COMPUTED_VALUE"""),"HOMBRES")</f>
        <v>HOMBRES</v>
      </c>
      <c r="B26" s="46">
        <f ca="1">IFERROR(__xludf.DUMMYFUNCTION("""COMPUTED_VALUE"""),500)</f>
        <v>500</v>
      </c>
      <c r="C26" s="46" t="str">
        <f ca="1">IFERROR(__xludf.DUMMYFUNCTION("""COMPUTED_VALUE"""),"HOMBRES EN LA PLANTILLA")</f>
        <v>HOMBRES EN LA PLANTILLA</v>
      </c>
      <c r="D26" s="46" t="str">
        <f ca="1">IFERROR(__xludf.DUMMYFUNCTION("""COMPUTED_VALUE"""),"DECENDENTE")</f>
        <v>DECENDENTE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IFERROR(__xludf.DUMMYFUNCTION("""COMPUTED_VALUE"""),87.7333333333333)</f>
        <v>87.733333333333306</v>
      </c>
      <c r="G26" s="48">
        <f ca="1">IFERROR(__xludf.DUMMYFUNCTION("""COMPUTED_VALUE"""),498)</f>
        <v>498</v>
      </c>
      <c r="H26" s="48">
        <f ca="1">IFERROR(__xludf.DUMMYFUNCTION("""COMPUTED_VALUE"""),512)</f>
        <v>512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IFERROR(__xludf.DUMMYFUNCTION("""COMPUTED_VALUE"""),519)</f>
        <v>519</v>
      </c>
      <c r="L26" s="48">
        <f ca="1">IFERROR(__xludf.DUMMYFUNCTION("""COMPUTED_VALUE"""),524)</f>
        <v>524</v>
      </c>
      <c r="M26" s="48">
        <f ca="1">IFERROR(__xludf.DUMMYFUNCTION("""COMPUTED_VALUE"""),530)</f>
        <v>530</v>
      </c>
      <c r="N26" s="48">
        <f ca="1">IFERROR(__xludf.DUMMYFUNCTION("""COMPUTED_VALUE"""),539)</f>
        <v>539</v>
      </c>
      <c r="O26" s="48">
        <f ca="1">IFERROR(__xludf.DUMMYFUNCTION("""COMPUTED_VALUE"""),537)</f>
        <v>537</v>
      </c>
      <c r="P26" s="48">
        <f ca="1">IFERROR(__xludf.DUMMYFUNCTION("""COMPUTED_VALUE"""),530)</f>
        <v>530</v>
      </c>
      <c r="Q26" s="48">
        <f ca="1">IFERROR(__xludf.DUMMYFUNCTION("""COMPUTED_VALUE"""),535)</f>
        <v>535</v>
      </c>
      <c r="R26" s="48">
        <f ca="1">IFERROR(__xludf.DUMMYFUNCTION("""COMPUTED_VALUE"""),540)</f>
        <v>540</v>
      </c>
      <c r="S26" s="48">
        <f ca="1">IFERROR(__xludf.DUMMYFUNCTION("""COMPUTED_VALUE"""),438.666666666666)</f>
        <v>438.666666666666</v>
      </c>
    </row>
    <row r="27" spans="1:19">
      <c r="A27" s="46" t="str">
        <f ca="1">IFERROR(__xludf.DUMMYFUNCTION("""COMPUTED_VALUE"""),"MUJERES")</f>
        <v>MUJERES</v>
      </c>
      <c r="B27" s="46">
        <f ca="1">IFERROR(__xludf.DUMMYFUNCTION("""COMPUTED_VALUE"""),250)</f>
        <v>250</v>
      </c>
      <c r="C27" s="46" t="str">
        <f ca="1">IFERROR(__xludf.DUMMYFUNCTION("""COMPUTED_VALUE"""),"MUJERES EN LA PLANTILLA")</f>
        <v>MUJERES EN LA PLANTILLA</v>
      </c>
      <c r="D27" s="46" t="str">
        <f ca="1">IFERROR(__xludf.DUMMYFUNCTION("""COMPUTED_VALUE"""),"ASCENDENTE")</f>
        <v>ASCENDENTE</v>
      </c>
      <c r="E27" s="46" t="str">
        <f ca="1">IFERROR(__xludf.DUMMYFUNCTION("""COMPUTED_VALUE"""),"BITACORA OPERATIVA")</f>
        <v>BITACORA OPERATIVA</v>
      </c>
      <c r="F27" s="47">
        <f ca="1">IFERROR(__xludf.DUMMYFUNCTION("""COMPUTED_VALUE"""),86.3666666666666)</f>
        <v>86.366666666666603</v>
      </c>
      <c r="G27" s="48">
        <f ca="1">IFERROR(__xludf.DUMMYFUNCTION("""COMPUTED_VALUE"""),232)</f>
        <v>232</v>
      </c>
      <c r="H27" s="48">
        <f ca="1">IFERROR(__xludf.DUMMYFUNCTION("""COMPUTED_VALUE"""),234)</f>
        <v>234</v>
      </c>
      <c r="I27" s="48">
        <f ca="1">IFERROR(__xludf.DUMMYFUNCTION("""COMPUTED_VALUE"""),226)</f>
        <v>226</v>
      </c>
      <c r="J27" s="48">
        <f ca="1">IFERROR(__xludf.DUMMYFUNCTION("""COMPUTED_VALUE"""),0)</f>
        <v>0</v>
      </c>
      <c r="K27" s="48">
        <f ca="1">IFERROR(__xludf.DUMMYFUNCTION("""COMPUTED_VALUE"""),238)</f>
        <v>238</v>
      </c>
      <c r="L27" s="48">
        <f ca="1">IFERROR(__xludf.DUMMYFUNCTION("""COMPUTED_VALUE"""),237)</f>
        <v>237</v>
      </c>
      <c r="M27" s="48">
        <f ca="1">IFERROR(__xludf.DUMMYFUNCTION("""COMPUTED_VALUE"""),238)</f>
        <v>238</v>
      </c>
      <c r="N27" s="48">
        <f ca="1">IFERROR(__xludf.DUMMYFUNCTION("""COMPUTED_VALUE"""),236)</f>
        <v>236</v>
      </c>
      <c r="O27" s="48">
        <f ca="1">IFERROR(__xludf.DUMMYFUNCTION("""COMPUTED_VALUE"""),238)</f>
        <v>238</v>
      </c>
      <c r="P27" s="48">
        <f ca="1">IFERROR(__xludf.DUMMYFUNCTION("""COMPUTED_VALUE"""),234)</f>
        <v>234</v>
      </c>
      <c r="Q27" s="48">
        <f ca="1">IFERROR(__xludf.DUMMYFUNCTION("""COMPUTED_VALUE"""),238)</f>
        <v>238</v>
      </c>
      <c r="R27" s="48">
        <f ca="1">IFERROR(__xludf.DUMMYFUNCTION("""COMPUTED_VALUE"""),240)</f>
        <v>240</v>
      </c>
      <c r="S27" s="48">
        <f ca="1">IFERROR(__xludf.DUMMYFUNCTION("""COMPUTED_VALUE"""),215.916666666666)</f>
        <v>215.916666666666</v>
      </c>
    </row>
    <row r="28" spans="1:19">
      <c r="A28" s="46" t="str">
        <f ca="1">IFERROR(__xludf.DUMMYFUNCTION("""COMPUTED_VALUE"""),"ALTAS DE PERSONAL")</f>
        <v>ALTAS DE PERSONAL</v>
      </c>
      <c r="B28" s="46">
        <f ca="1">IFERROR(__xludf.DUMMYFUNCTION("""COMPUTED_VALUE"""),84)</f>
        <v>84</v>
      </c>
      <c r="C28" s="46" t="str">
        <f ca="1">IFERROR(__xludf.DUMMYFUNCTION("""COMPUTED_VALUE"""),"PERSONAL DADO DE ALTA")</f>
        <v>PERSONAL DADO DE ALTA</v>
      </c>
      <c r="D28" s="46" t="str">
        <f ca="1">IFERROR(__xludf.DUMMYFUNCTION("""COMPUTED_VALUE"""),"ASCENDENTE")</f>
        <v>ASCENDENTE</v>
      </c>
      <c r="E28" s="46" t="str">
        <f ca="1">IFERROR(__xludf.DUMMYFUNCTION("""COMPUTED_VALUE"""),"BITACORA OPERATIVA")</f>
        <v>BITACORA OPERATIVA</v>
      </c>
      <c r="F28" s="47">
        <f ca="1">IFERROR(__xludf.DUMMYFUNCTION("""COMPUTED_VALUE"""),501.190476190476)</f>
        <v>501.19047619047598</v>
      </c>
      <c r="G28" s="48">
        <f ca="1">IFERROR(__xludf.DUMMYFUNCTION("""COMPUTED_VALUE"""),272)</f>
        <v>272</v>
      </c>
      <c r="H28" s="48">
        <f ca="1">IFERROR(__xludf.DUMMYFUNCTION("""COMPUTED_VALUE"""),22)</f>
        <v>22</v>
      </c>
      <c r="I28" s="48">
        <f ca="1">IFERROR(__xludf.DUMMYFUNCTION("""COMPUTED_VALUE"""),15)</f>
        <v>15</v>
      </c>
      <c r="J28" s="48">
        <f ca="1">IFERROR(__xludf.DUMMYFUNCTION("""COMPUTED_VALUE"""),0)</f>
        <v>0</v>
      </c>
      <c r="K28" s="48">
        <f ca="1">IFERROR(__xludf.DUMMYFUNCTION("""COMPUTED_VALUE"""),26)</f>
        <v>26</v>
      </c>
      <c r="L28" s="48">
        <f ca="1">IFERROR(__xludf.DUMMYFUNCTION("""COMPUTED_VALUE"""),22)</f>
        <v>22</v>
      </c>
      <c r="M28" s="48">
        <f ca="1">IFERROR(__xludf.DUMMYFUNCTION("""COMPUTED_VALUE"""),8)</f>
        <v>8</v>
      </c>
      <c r="N28" s="48">
        <f ca="1">IFERROR(__xludf.DUMMYFUNCTION("""COMPUTED_VALUE"""),18)</f>
        <v>18</v>
      </c>
      <c r="O28" s="48">
        <f ca="1">IFERROR(__xludf.DUMMYFUNCTION("""COMPUTED_VALUE"""),4)</f>
        <v>4</v>
      </c>
      <c r="P28" s="48">
        <f ca="1">IFERROR(__xludf.DUMMYFUNCTION("""COMPUTED_VALUE"""),7)</f>
        <v>7</v>
      </c>
      <c r="Q28" s="48">
        <f ca="1">IFERROR(__xludf.DUMMYFUNCTION("""COMPUTED_VALUE"""),17)</f>
        <v>17</v>
      </c>
      <c r="R28" s="48">
        <f ca="1">IFERROR(__xludf.DUMMYFUNCTION("""COMPUTED_VALUE"""),10)</f>
        <v>10</v>
      </c>
      <c r="S28" s="48">
        <f ca="1">IFERROR(__xludf.DUMMYFUNCTION("""COMPUTED_VALUE"""),421)</f>
        <v>421</v>
      </c>
    </row>
    <row r="29" spans="1:19">
      <c r="A29" s="46" t="str">
        <f ca="1">IFERROR(__xludf.DUMMYFUNCTION("""COMPUTED_VALUE"""),"BAJAS DE PERSONAL")</f>
        <v>BAJAS DE PERSONAL</v>
      </c>
      <c r="B29" s="46">
        <f ca="1">IFERROR(__xludf.DUMMYFUNCTION("""COMPUTED_VALUE"""),50)</f>
        <v>50</v>
      </c>
      <c r="C29" s="46" t="str">
        <f ca="1">IFERROR(__xludf.DUMMYFUNCTION("""COMPUTED_VALUE"""),"PERSONAL DADO DE BAJA")</f>
        <v>PERSONAL DADO DE BAJA</v>
      </c>
      <c r="D29" s="46" t="str">
        <f ca="1">IFERROR(__xludf.DUMMYFUNCTION("""COMPUTED_VALUE"""),"ASCENDENTE")</f>
        <v>ASCENDENTE</v>
      </c>
      <c r="E29" s="46" t="str">
        <f ca="1">IFERROR(__xludf.DUMMYFUNCTION("""COMPUTED_VALUE"""),"BITACORA OPERATIVA")</f>
        <v>BITACORA OPERATIVA</v>
      </c>
      <c r="F29" s="47">
        <f ca="1">IFERROR(__xludf.DUMMYFUNCTION("""COMPUTED_VALUE"""),388)</f>
        <v>388</v>
      </c>
      <c r="G29" s="48">
        <f ca="1">IFERROR(__xludf.DUMMYFUNCTION("""COMPUTED_VALUE"""),112)</f>
        <v>112</v>
      </c>
      <c r="H29" s="48">
        <f ca="1">IFERROR(__xludf.DUMMYFUNCTION("""COMPUTED_VALUE"""),27)</f>
        <v>27</v>
      </c>
      <c r="I29" s="48">
        <f ca="1">IFERROR(__xludf.DUMMYFUNCTION("""COMPUTED_VALUE"""),0)</f>
        <v>0</v>
      </c>
      <c r="J29" s="48">
        <f ca="1">IFERROR(__xludf.DUMMYFUNCTION("""COMPUTED_VALUE"""),0)</f>
        <v>0</v>
      </c>
      <c r="K29" s="48">
        <f ca="1">IFERROR(__xludf.DUMMYFUNCTION("""COMPUTED_VALUE"""),12)</f>
        <v>12</v>
      </c>
      <c r="L29" s="48">
        <f ca="1">IFERROR(__xludf.DUMMYFUNCTION("""COMPUTED_VALUE"""),12)</f>
        <v>12</v>
      </c>
      <c r="M29" s="48">
        <f ca="1">IFERROR(__xludf.DUMMYFUNCTION("""COMPUTED_VALUE"""),4)</f>
        <v>4</v>
      </c>
      <c r="N29" s="48">
        <f ca="1">IFERROR(__xludf.DUMMYFUNCTION("""COMPUTED_VALUE"""),4)</f>
        <v>4</v>
      </c>
      <c r="O29" s="48">
        <f ca="1">IFERROR(__xludf.DUMMYFUNCTION("""COMPUTED_VALUE"""),10)</f>
        <v>10</v>
      </c>
      <c r="P29" s="48">
        <f ca="1">IFERROR(__xludf.DUMMYFUNCTION("""COMPUTED_VALUE"""),6)</f>
        <v>6</v>
      </c>
      <c r="Q29" s="48">
        <f ca="1">IFERROR(__xludf.DUMMYFUNCTION("""COMPUTED_VALUE"""),6)</f>
        <v>6</v>
      </c>
      <c r="R29" s="48">
        <f ca="1">IFERROR(__xludf.DUMMYFUNCTION("""COMPUTED_VALUE"""),1)</f>
        <v>1</v>
      </c>
      <c r="S29" s="48">
        <f ca="1">IFERROR(__xludf.DUMMYFUNCTION("""COMPUTED_VALUE"""),194)</f>
        <v>194</v>
      </c>
    </row>
    <row r="30" spans="1:19">
      <c r="A30" s="46" t="str">
        <f ca="1">IFERROR(__xludf.DUMMYFUNCTION("""COMPUTED_VALUE"""),"AUSENTISMO (PERSONAS)")</f>
        <v>AUSENTISMO (PERSONAS)</v>
      </c>
      <c r="B30" s="46">
        <f ca="1">IFERROR(__xludf.DUMMYFUNCTION("""COMPUTED_VALUE"""),200)</f>
        <v>200</v>
      </c>
      <c r="C30" s="46" t="str">
        <f ca="1">IFERROR(__xludf.DUMMYFUNCTION("""COMPUTED_VALUE"""),"FALTAS REGISTRADAS")</f>
        <v>FALTAS REGISTRADAS</v>
      </c>
      <c r="D30" s="46" t="str">
        <f ca="1">IFERROR(__xludf.DUMMYFUNCTION("""COMPUTED_VALUE"""),"DECENDENTE")</f>
        <v>DECENDENTE</v>
      </c>
      <c r="E30" s="46" t="str">
        <f ca="1">IFERROR(__xludf.DUMMYFUNCTION("""COMPUTED_VALUE"""),"BITACORA OPERATIVA")</f>
        <v>BITACORA OPERATIVA</v>
      </c>
      <c r="F30" s="47">
        <f ca="1">IFERROR(__xludf.DUMMYFUNCTION("""COMPUTED_VALUE"""),142)</f>
        <v>142</v>
      </c>
      <c r="G30" s="48">
        <f ca="1">IFERROR(__xludf.DUMMYFUNCTION("""COMPUTED_VALUE"""),13)</f>
        <v>13</v>
      </c>
      <c r="H30" s="48">
        <f ca="1">IFERROR(__xludf.DUMMYFUNCTION("""COMPUTED_VALUE"""),16)</f>
        <v>16</v>
      </c>
      <c r="I30" s="48">
        <f ca="1">IFERROR(__xludf.DUMMYFUNCTION("""COMPUTED_VALUE"""),15)</f>
        <v>15</v>
      </c>
      <c r="J30" s="48">
        <f ca="1">IFERROR(__xludf.DUMMYFUNCTION("""COMPUTED_VALUE"""),0)</f>
        <v>0</v>
      </c>
      <c r="K30" s="48">
        <f ca="1">IFERROR(__xludf.DUMMYFUNCTION("""COMPUTED_VALUE"""),18)</f>
        <v>18</v>
      </c>
      <c r="L30" s="48">
        <f ca="1">IFERROR(__xludf.DUMMYFUNCTION("""COMPUTED_VALUE"""),15)</f>
        <v>15</v>
      </c>
      <c r="M30" s="48">
        <f ca="1">IFERROR(__xludf.DUMMYFUNCTION("""COMPUTED_VALUE"""),32)</f>
        <v>32</v>
      </c>
      <c r="N30" s="48">
        <f ca="1">IFERROR(__xludf.DUMMYFUNCTION("""COMPUTED_VALUE"""),53)</f>
        <v>53</v>
      </c>
      <c r="O30" s="48">
        <f ca="1">IFERROR(__xludf.DUMMYFUNCTION("""COMPUTED_VALUE"""),37)</f>
        <v>37</v>
      </c>
      <c r="P30" s="48">
        <f ca="1">IFERROR(__xludf.DUMMYFUNCTION("""COMPUTED_VALUE"""),32)</f>
        <v>32</v>
      </c>
      <c r="Q30" s="48">
        <f ca="1">IFERROR(__xludf.DUMMYFUNCTION("""COMPUTED_VALUE"""),32)</f>
        <v>32</v>
      </c>
      <c r="R30" s="48">
        <f ca="1">IFERROR(__xludf.DUMMYFUNCTION("""COMPUTED_VALUE"""),21)</f>
        <v>21</v>
      </c>
      <c r="S30" s="48">
        <f ca="1">IFERROR(__xludf.DUMMYFUNCTION("""COMPUTED_VALUE"""),284)</f>
        <v>284</v>
      </c>
    </row>
    <row r="31" spans="1:19">
      <c r="A31" s="46" t="str">
        <f ca="1">IFERROR(__xludf.DUMMYFUNCTION("""COMPUTED_VALUE"""),"JUBILADOS")</f>
        <v>JUBILADOS</v>
      </c>
      <c r="B31" s="46">
        <f ca="1">IFERROR(__xludf.DUMMYFUNCTION("""COMPUTED_VALUE"""),25)</f>
        <v>25</v>
      </c>
      <c r="C31" s="46" t="str">
        <f ca="1">IFERROR(__xludf.DUMMYFUNCTION("""COMPUTED_VALUE"""),"PLANTILLA DE PERSONAL")</f>
        <v>PLANTILLA DE PERSONAL</v>
      </c>
      <c r="D31" s="46" t="str">
        <f ca="1">IFERROR(__xludf.DUMMYFUNCTION("""COMPUTED_VALUE"""),"ASCENDENTE")</f>
        <v>ASCENDENTE</v>
      </c>
      <c r="E31" s="46" t="str">
        <f ca="1">IFERROR(__xludf.DUMMYFUNCTION("""COMPUTED_VALUE"""),"BITACORA OPERATIVA")</f>
        <v>BITACORA OPERATIVA</v>
      </c>
      <c r="F31" s="47">
        <f ca="1">IFERROR(__xludf.DUMMYFUNCTION("""COMPUTED_VALUE"""),87)</f>
        <v>87</v>
      </c>
      <c r="G31" s="48">
        <f ca="1">IFERROR(__xludf.DUMMYFUNCTION("""COMPUTED_VALUE"""),23)</f>
        <v>23</v>
      </c>
      <c r="H31" s="48">
        <f ca="1">IFERROR(__xludf.DUMMYFUNCTION("""COMPUTED_VALUE"""),23)</f>
        <v>23</v>
      </c>
      <c r="I31" s="48">
        <f ca="1">IFERROR(__xludf.DUMMYFUNCTION("""COMPUTED_VALUE"""),23)</f>
        <v>23</v>
      </c>
      <c r="J31" s="48">
        <f ca="1">IFERROR(__xludf.DUMMYFUNCTION("""COMPUTED_VALUE"""),0)</f>
        <v>0</v>
      </c>
      <c r="K31" s="48">
        <f ca="1">IFERROR(__xludf.DUMMYFUNCTION("""COMPUTED_VALUE"""),23)</f>
        <v>23</v>
      </c>
      <c r="L31" s="48">
        <f ca="1">IFERROR(__xludf.DUMMYFUNCTION("""COMPUTED_VALUE"""),23)</f>
        <v>23</v>
      </c>
      <c r="M31" s="48">
        <f ca="1">IFERROR(__xludf.DUMMYFUNCTION("""COMPUTED_VALUE"""),23)</f>
        <v>23</v>
      </c>
      <c r="N31" s="48">
        <f ca="1">IFERROR(__xludf.DUMMYFUNCTION("""COMPUTED_VALUE"""),23)</f>
        <v>23</v>
      </c>
      <c r="O31" s="48">
        <f ca="1">IFERROR(__xludf.DUMMYFUNCTION("""COMPUTED_VALUE"""),25)</f>
        <v>25</v>
      </c>
      <c r="P31" s="48">
        <f ca="1">IFERROR(__xludf.DUMMYFUNCTION("""COMPUTED_VALUE"""),25)</f>
        <v>25</v>
      </c>
      <c r="Q31" s="48">
        <f ca="1">IFERROR(__xludf.DUMMYFUNCTION("""COMPUTED_VALUE"""),25)</f>
        <v>25</v>
      </c>
      <c r="R31" s="48">
        <f ca="1">IFERROR(__xludf.DUMMYFUNCTION("""COMPUTED_VALUE"""),25)</f>
        <v>25</v>
      </c>
      <c r="S31" s="48">
        <f ca="1">IFERROR(__xludf.DUMMYFUNCTION("""COMPUTED_VALUE"""),21.75)</f>
        <v>21.75</v>
      </c>
    </row>
    <row r="32" spans="1:19">
      <c r="A32" s="46" t="str">
        <f ca="1">IFERROR(__xludf.DUMMYFUNCTION("""COMPUTED_VALUE"""),"HOMBRES")</f>
        <v>HOMBRES</v>
      </c>
      <c r="B32" s="46">
        <f ca="1">IFERROR(__xludf.DUMMYFUNCTION("""COMPUTED_VALUE"""),20)</f>
        <v>20</v>
      </c>
      <c r="C32" s="46" t="str">
        <f ca="1">IFERROR(__xludf.DUMMYFUNCTION("""COMPUTED_VALUE"""),"PLANTILLA DE PERSONAL")</f>
        <v>PLANTILLA DE PERSONAL</v>
      </c>
      <c r="D32" s="46" t="str">
        <f ca="1">IFERROR(__xludf.DUMMYFUNCTION("""COMPUTED_VALUE"""),"ASCENDENTE")</f>
        <v>ASCENDENTE</v>
      </c>
      <c r="E32" s="46" t="str">
        <f ca="1">IFERROR(__xludf.DUMMYFUNCTION("""COMPUTED_VALUE"""),"BITACORA OPERATIVA")</f>
        <v>BITACORA OPERATIVA</v>
      </c>
      <c r="F32" s="47">
        <f ca="1">IFERROR(__xludf.DUMMYFUNCTION("""COMPUTED_VALUE"""),85.8333333333333)</f>
        <v>85.8333333333333</v>
      </c>
      <c r="G32" s="48">
        <f ca="1">IFERROR(__xludf.DUMMYFUNCTION("""COMPUTED_VALUE"""),18)</f>
        <v>18</v>
      </c>
      <c r="H32" s="48">
        <f ca="1">IFERROR(__xludf.DUMMYFUNCTION("""COMPUTED_VALUE"""),18)</f>
        <v>18</v>
      </c>
      <c r="I32" s="48">
        <f ca="1">IFERROR(__xludf.DUMMYFUNCTION("""COMPUTED_VALUE"""),18)</f>
        <v>18</v>
      </c>
      <c r="J32" s="48">
        <f ca="1">IFERROR(__xludf.DUMMYFUNCTION("""COMPUTED_VALUE"""),0)</f>
        <v>0</v>
      </c>
      <c r="K32" s="48">
        <f ca="1">IFERROR(__xludf.DUMMYFUNCTION("""COMPUTED_VALUE"""),18)</f>
        <v>18</v>
      </c>
      <c r="L32" s="48">
        <f ca="1">IFERROR(__xludf.DUMMYFUNCTION("""COMPUTED_VALUE"""),18)</f>
        <v>18</v>
      </c>
      <c r="M32" s="48">
        <f ca="1">IFERROR(__xludf.DUMMYFUNCTION("""COMPUTED_VALUE"""),18)</f>
        <v>18</v>
      </c>
      <c r="N32" s="48">
        <f ca="1">IFERROR(__xludf.DUMMYFUNCTION("""COMPUTED_VALUE"""),18)</f>
        <v>18</v>
      </c>
      <c r="O32" s="48">
        <f ca="1">IFERROR(__xludf.DUMMYFUNCTION("""COMPUTED_VALUE"""),20)</f>
        <v>20</v>
      </c>
      <c r="P32" s="48">
        <f ca="1">IFERROR(__xludf.DUMMYFUNCTION("""COMPUTED_VALUE"""),20)</f>
        <v>20</v>
      </c>
      <c r="Q32" s="48">
        <f ca="1">IFERROR(__xludf.DUMMYFUNCTION("""COMPUTED_VALUE"""),20)</f>
        <v>20</v>
      </c>
      <c r="R32" s="48">
        <f ca="1">IFERROR(__xludf.DUMMYFUNCTION("""COMPUTED_VALUE"""),20)</f>
        <v>20</v>
      </c>
      <c r="S32" s="48">
        <f ca="1">IFERROR(__xludf.DUMMYFUNCTION("""COMPUTED_VALUE"""),17.1666666666666)</f>
        <v>17.1666666666666</v>
      </c>
    </row>
    <row r="33" spans="1:19">
      <c r="A33" s="46" t="str">
        <f ca="1">IFERROR(__xludf.DUMMYFUNCTION("""COMPUTED_VALUE"""),"MUJERES")</f>
        <v>MUJERES</v>
      </c>
      <c r="B33" s="46">
        <f ca="1">IFERROR(__xludf.DUMMYFUNCTION("""COMPUTED_VALUE"""),5)</f>
        <v>5</v>
      </c>
      <c r="C33" s="46" t="str">
        <f ca="1">IFERROR(__xludf.DUMMYFUNCTION("""COMPUTED_VALUE"""),"PLANTILLA DE PERSONAL")</f>
        <v>PLANTILLA DE PERSONAL</v>
      </c>
      <c r="D33" s="46" t="str">
        <f ca="1">IFERROR(__xludf.DUMMYFUNCTION("""COMPUTED_VALUE"""),"ASCENDENTE")</f>
        <v>ASCENDENTE</v>
      </c>
      <c r="E33" s="46" t="str">
        <f ca="1">IFERROR(__xludf.DUMMYFUNCTION("""COMPUTED_VALUE"""),"BITACORA OPERATIVA")</f>
        <v>BITACORA OPERATIVA</v>
      </c>
      <c r="F33" s="47">
        <f ca="1">IFERROR(__xludf.DUMMYFUNCTION("""COMPUTED_VALUE"""),91.6666666666666)</f>
        <v>91.6666666666666</v>
      </c>
      <c r="G33" s="48">
        <f ca="1">IFERROR(__xludf.DUMMYFUNCTION("""COMPUTED_VALUE"""),5)</f>
        <v>5</v>
      </c>
      <c r="H33" s="48">
        <f ca="1">IFERROR(__xludf.DUMMYFUNCTION("""COMPUTED_VALUE"""),5)</f>
        <v>5</v>
      </c>
      <c r="I33" s="48">
        <f ca="1">IFERROR(__xludf.DUMMYFUNCTION("""COMPUTED_VALUE"""),5)</f>
        <v>5</v>
      </c>
      <c r="J33" s="48">
        <f ca="1">IFERROR(__xludf.DUMMYFUNCTION("""COMPUTED_VALUE"""),0)</f>
        <v>0</v>
      </c>
      <c r="K33" s="48">
        <f ca="1">IFERROR(__xludf.DUMMYFUNCTION("""COMPUTED_VALUE"""),5)</f>
        <v>5</v>
      </c>
      <c r="L33" s="48">
        <f ca="1">IFERROR(__xludf.DUMMYFUNCTION("""COMPUTED_VALUE"""),5)</f>
        <v>5</v>
      </c>
      <c r="M33" s="48">
        <f ca="1">IFERROR(__xludf.DUMMYFUNCTION("""COMPUTED_VALUE"""),5)</f>
        <v>5</v>
      </c>
      <c r="N33" s="48">
        <f ca="1">IFERROR(__xludf.DUMMYFUNCTION("""COMPUTED_VALUE"""),5)</f>
        <v>5</v>
      </c>
      <c r="O33" s="48">
        <f ca="1">IFERROR(__xludf.DUMMYFUNCTION("""COMPUTED_VALUE"""),5)</f>
        <v>5</v>
      </c>
      <c r="P33" s="48">
        <f ca="1">IFERROR(__xludf.DUMMYFUNCTION("""COMPUTED_VALUE"""),5)</f>
        <v>5</v>
      </c>
      <c r="Q33" s="48">
        <f ca="1">IFERROR(__xludf.DUMMYFUNCTION("""COMPUTED_VALUE"""),5)</f>
        <v>5</v>
      </c>
      <c r="R33" s="48">
        <f ca="1">IFERROR(__xludf.DUMMYFUNCTION("""COMPUTED_VALUE"""),5)</f>
        <v>5</v>
      </c>
      <c r="S33" s="48">
        <f ca="1">IFERROR(__xludf.DUMMYFUNCTION("""COMPUTED_VALUE"""),4.58333333333333)</f>
        <v>4.5833333333333304</v>
      </c>
    </row>
    <row r="34" spans="1:19">
      <c r="A34" s="46" t="str">
        <f ca="1">IFERROR(__xludf.DUMMYFUNCTION("""COMPUTED_VALUE"""),"PENSIONADOS")</f>
        <v>PENSIONADOS</v>
      </c>
      <c r="B34" s="46">
        <f ca="1">IFERROR(__xludf.DUMMYFUNCTION("""COMPUTED_VALUE"""),110)</f>
        <v>110</v>
      </c>
      <c r="C34" s="46" t="str">
        <f ca="1">IFERROR(__xludf.DUMMYFUNCTION("""COMPUTED_VALUE"""),"PLANTILLA DE PERSONAL")</f>
        <v>PLANTILLA DE PERSONAL</v>
      </c>
      <c r="D34" s="46" t="str">
        <f ca="1">IFERROR(__xludf.DUMMYFUNCTION("""COMPUTED_VALUE"""),"ASCENDENTE")</f>
        <v>ASCENDENTE</v>
      </c>
      <c r="E34" s="46" t="str">
        <f ca="1">IFERROR(__xludf.DUMMYFUNCTION("""COMPUTED_VALUE"""),"BITACORA OPERATIVA")</f>
        <v>BITACORA OPERATIVA</v>
      </c>
      <c r="F34" s="47">
        <f ca="1">IFERROR(__xludf.DUMMYFUNCTION("""COMPUTED_VALUE"""),87.1969696969697)</f>
        <v>87.196969696969703</v>
      </c>
      <c r="G34" s="48">
        <f ca="1">IFERROR(__xludf.DUMMYFUNCTION("""COMPUTED_VALUE"""),102)</f>
        <v>102</v>
      </c>
      <c r="H34" s="48">
        <f ca="1">IFERROR(__xludf.DUMMYFUNCTION("""COMPUTED_VALUE"""),102)</f>
        <v>102</v>
      </c>
      <c r="I34" s="48">
        <f ca="1">IFERROR(__xludf.DUMMYFUNCTION("""COMPUTED_VALUE"""),102)</f>
        <v>102</v>
      </c>
      <c r="J34" s="48">
        <f ca="1">IFERROR(__xludf.DUMMYFUNCTION("""COMPUTED_VALUE"""),0)</f>
        <v>0</v>
      </c>
      <c r="K34" s="48">
        <f ca="1">IFERROR(__xludf.DUMMYFUNCTION("""COMPUTED_VALUE"""),102)</f>
        <v>102</v>
      </c>
      <c r="L34" s="48">
        <f ca="1">IFERROR(__xludf.DUMMYFUNCTION("""COMPUTED_VALUE"""),103)</f>
        <v>103</v>
      </c>
      <c r="M34" s="48">
        <f ca="1">IFERROR(__xludf.DUMMYFUNCTION("""COMPUTED_VALUE"""),103)</f>
        <v>103</v>
      </c>
      <c r="N34" s="48">
        <f ca="1">IFERROR(__xludf.DUMMYFUNCTION("""COMPUTED_VALUE"""),103)</f>
        <v>103</v>
      </c>
      <c r="O34" s="48">
        <f ca="1">IFERROR(__xludf.DUMMYFUNCTION("""COMPUTED_VALUE"""),107)</f>
        <v>107</v>
      </c>
      <c r="P34" s="48">
        <f ca="1">IFERROR(__xludf.DUMMYFUNCTION("""COMPUTED_VALUE"""),107)</f>
        <v>107</v>
      </c>
      <c r="Q34" s="48">
        <f ca="1">IFERROR(__xludf.DUMMYFUNCTION("""COMPUTED_VALUE"""),110)</f>
        <v>110</v>
      </c>
      <c r="R34" s="48">
        <f ca="1">IFERROR(__xludf.DUMMYFUNCTION("""COMPUTED_VALUE"""),110)</f>
        <v>110</v>
      </c>
      <c r="S34" s="48">
        <f ca="1">IFERROR(__xludf.DUMMYFUNCTION("""COMPUTED_VALUE"""),95.9166666666666)</f>
        <v>95.9166666666666</v>
      </c>
    </row>
    <row r="35" spans="1:19">
      <c r="A35" s="46" t="str">
        <f ca="1">IFERROR(__xludf.DUMMYFUNCTION("""COMPUTED_VALUE"""),"HOMBRES")</f>
        <v>HOMBRES</v>
      </c>
      <c r="B35" s="46">
        <f ca="1">IFERROR(__xludf.DUMMYFUNCTION("""COMPUTED_VALUE"""),65)</f>
        <v>65</v>
      </c>
      <c r="C35" s="46" t="str">
        <f ca="1">IFERROR(__xludf.DUMMYFUNCTION("""COMPUTED_VALUE"""),"PLANTILLA DE PERSONAL")</f>
        <v>PLANTILLA DE PERSONAL</v>
      </c>
      <c r="D35" s="46" t="str">
        <f ca="1">IFERROR(__xludf.DUMMYFUNCTION("""COMPUTED_VALUE"""),"ASCENDENTE")</f>
        <v>ASCENDENTE</v>
      </c>
      <c r="E35" s="46" t="str">
        <f ca="1">IFERROR(__xludf.DUMMYFUNCTION("""COMPUTED_VALUE"""),"BITACORA OPERATIVA")</f>
        <v>BITACORA OPERATIVA</v>
      </c>
      <c r="F35" s="47">
        <f ca="1">IFERROR(__xludf.DUMMYFUNCTION("""COMPUTED_VALUE"""),89.4871794871794)</f>
        <v>89.487179487179404</v>
      </c>
      <c r="G35" s="48">
        <f ca="1">IFERROR(__xludf.DUMMYFUNCTION("""COMPUTED_VALUE"""),62)</f>
        <v>62</v>
      </c>
      <c r="H35" s="48">
        <f ca="1">IFERROR(__xludf.DUMMYFUNCTION("""COMPUTED_VALUE"""),62)</f>
        <v>62</v>
      </c>
      <c r="I35" s="48">
        <f ca="1">IFERROR(__xludf.DUMMYFUNCTION("""COMPUTED_VALUE"""),62)</f>
        <v>62</v>
      </c>
      <c r="J35" s="48">
        <f ca="1">IFERROR(__xludf.DUMMYFUNCTION("""COMPUTED_VALUE"""),0)</f>
        <v>0</v>
      </c>
      <c r="K35" s="48">
        <f ca="1">IFERROR(__xludf.DUMMYFUNCTION("""COMPUTED_VALUE"""),62)</f>
        <v>62</v>
      </c>
      <c r="L35" s="48">
        <f ca="1">IFERROR(__xludf.DUMMYFUNCTION("""COMPUTED_VALUE"""),62)</f>
        <v>62</v>
      </c>
      <c r="M35" s="48">
        <f ca="1">IFERROR(__xludf.DUMMYFUNCTION("""COMPUTED_VALUE"""),62)</f>
        <v>62</v>
      </c>
      <c r="N35" s="48">
        <f ca="1">IFERROR(__xludf.DUMMYFUNCTION("""COMPUTED_VALUE"""),62)</f>
        <v>62</v>
      </c>
      <c r="O35" s="48">
        <f ca="1">IFERROR(__xludf.DUMMYFUNCTION("""COMPUTED_VALUE"""),65)</f>
        <v>65</v>
      </c>
      <c r="P35" s="48">
        <f ca="1">IFERROR(__xludf.DUMMYFUNCTION("""COMPUTED_VALUE"""),65)</f>
        <v>65</v>
      </c>
      <c r="Q35" s="48">
        <f ca="1">IFERROR(__xludf.DUMMYFUNCTION("""COMPUTED_VALUE"""),67)</f>
        <v>67</v>
      </c>
      <c r="R35" s="48">
        <f ca="1">IFERROR(__xludf.DUMMYFUNCTION("""COMPUTED_VALUE"""),67)</f>
        <v>67</v>
      </c>
      <c r="S35" s="48">
        <f ca="1">IFERROR(__xludf.DUMMYFUNCTION("""COMPUTED_VALUE"""),58.1666666666666)</f>
        <v>58.1666666666666</v>
      </c>
    </row>
    <row r="36" spans="1:19">
      <c r="A36" s="46" t="str">
        <f ca="1">IFERROR(__xludf.DUMMYFUNCTION("""COMPUTED_VALUE"""),"MUJERES")</f>
        <v>MUJERES</v>
      </c>
      <c r="B36" s="46">
        <f ca="1">IFERROR(__xludf.DUMMYFUNCTION("""COMPUTED_VALUE"""),45)</f>
        <v>45</v>
      </c>
      <c r="C36" s="46" t="str">
        <f ca="1">IFERROR(__xludf.DUMMYFUNCTION("""COMPUTED_VALUE"""),"PLANTILLA DE PERSONAL")</f>
        <v>PLANTILLA DE PERSONAL</v>
      </c>
      <c r="D36" s="46" t="str">
        <f ca="1">IFERROR(__xludf.DUMMYFUNCTION("""COMPUTED_VALUE"""),"ASCENDENTE")</f>
        <v>ASCENDENTE</v>
      </c>
      <c r="E36" s="46" t="str">
        <f ca="1">IFERROR(__xludf.DUMMYFUNCTION("""COMPUTED_VALUE"""),"BITACORA OPERATIVA")</f>
        <v>BITACORA OPERATIVA</v>
      </c>
      <c r="F36" s="47">
        <f ca="1">IFERROR(__xludf.DUMMYFUNCTION("""COMPUTED_VALUE"""),83.8888888888888)</f>
        <v>83.8888888888888</v>
      </c>
      <c r="G36" s="48">
        <f ca="1">IFERROR(__xludf.DUMMYFUNCTION("""COMPUTED_VALUE"""),40)</f>
        <v>40</v>
      </c>
      <c r="H36" s="48">
        <f ca="1">IFERROR(__xludf.DUMMYFUNCTION("""COMPUTED_VALUE"""),40)</f>
        <v>40</v>
      </c>
      <c r="I36" s="48">
        <f ca="1">IFERROR(__xludf.DUMMYFUNCTION("""COMPUTED_VALUE"""),40)</f>
        <v>40</v>
      </c>
      <c r="J36" s="48">
        <f ca="1">IFERROR(__xludf.DUMMYFUNCTION("""COMPUTED_VALUE"""),0)</f>
        <v>0</v>
      </c>
      <c r="K36" s="48">
        <f ca="1">IFERROR(__xludf.DUMMYFUNCTION("""COMPUTED_VALUE"""),40)</f>
        <v>40</v>
      </c>
      <c r="L36" s="48">
        <f ca="1">IFERROR(__xludf.DUMMYFUNCTION("""COMPUTED_VALUE"""),41)</f>
        <v>41</v>
      </c>
      <c r="M36" s="48">
        <f ca="1">IFERROR(__xludf.DUMMYFUNCTION("""COMPUTED_VALUE"""),41)</f>
        <v>41</v>
      </c>
      <c r="N36" s="48">
        <f ca="1">IFERROR(__xludf.DUMMYFUNCTION("""COMPUTED_VALUE"""),41)</f>
        <v>41</v>
      </c>
      <c r="O36" s="48">
        <f ca="1">IFERROR(__xludf.DUMMYFUNCTION("""COMPUTED_VALUE"""),42)</f>
        <v>42</v>
      </c>
      <c r="P36" s="48">
        <f ca="1">IFERROR(__xludf.DUMMYFUNCTION("""COMPUTED_VALUE"""),42)</f>
        <v>42</v>
      </c>
      <c r="Q36" s="48">
        <f ca="1">IFERROR(__xludf.DUMMYFUNCTION("""COMPUTED_VALUE"""),43)</f>
        <v>43</v>
      </c>
      <c r="R36" s="48">
        <f ca="1">IFERROR(__xludf.DUMMYFUNCTION("""COMPUTED_VALUE"""),43)</f>
        <v>43</v>
      </c>
      <c r="S36" s="48">
        <f ca="1">IFERROR(__xludf.DUMMYFUNCTION("""COMPUTED_VALUE"""),37.75)</f>
        <v>37.75</v>
      </c>
    </row>
    <row r="37" spans="1:19">
      <c r="A37" s="46" t="str">
        <f ca="1">IFERROR(__xludf.DUMMYFUNCTION("""COMPUTED_VALUE"""),"TOTAL DE VEHICULOS QUE CARGARON COMBUSTIBLE")</f>
        <v>TOTAL DE VEHICULOS QUE CARGARON COMBUSTIBLE</v>
      </c>
      <c r="B37" s="46">
        <f ca="1">IFERROR(__xludf.DUMMYFUNCTION("""COMPUTED_VALUE"""),215)</f>
        <v>215</v>
      </c>
      <c r="C37" s="46" t="str">
        <f ca="1">IFERROR(__xludf.DUMMYFUNCTION("""COMPUTED_VALUE"""),"VEHICULOS QUE CARGARON COMBUSTIBLE")</f>
        <v>VEHICULOS QUE CARGARON COMBUSTIBLE</v>
      </c>
      <c r="D37" s="46" t="str">
        <f ca="1">IFERROR(__xludf.DUMMYFUNCTION("""COMPUTED_VALUE"""),"DECENDENTE")</f>
        <v>DECENDENTE</v>
      </c>
      <c r="E37" s="46" t="str">
        <f ca="1">IFERROR(__xludf.DUMMYFUNCTION("""COMPUTED_VALUE"""),"BITACORA OPERATIVA")</f>
        <v>BITACORA OPERATIVA</v>
      </c>
      <c r="F37" s="47">
        <f ca="1">IFERROR(__xludf.DUMMYFUNCTION("""COMPUTED_VALUE"""),136.085271317829)</f>
        <v>136.08527131782901</v>
      </c>
      <c r="G37" s="48">
        <f ca="1">IFERROR(__xludf.DUMMYFUNCTION("""COMPUTED_VALUE"""),294)</f>
        <v>294</v>
      </c>
      <c r="H37" s="48">
        <f ca="1">IFERROR(__xludf.DUMMYFUNCTION("""COMPUTED_VALUE"""),342)</f>
        <v>342</v>
      </c>
      <c r="I37" s="48">
        <f ca="1">IFERROR(__xludf.DUMMYFUNCTION("""COMPUTED_VALUE"""),321)</f>
        <v>321</v>
      </c>
      <c r="J37" s="48">
        <f ca="1">IFERROR(__xludf.DUMMYFUNCTION("""COMPUTED_VALUE"""),203)</f>
        <v>203</v>
      </c>
      <c r="K37" s="48">
        <f ca="1">IFERROR(__xludf.DUMMYFUNCTION("""COMPUTED_VALUE"""),210)</f>
        <v>210</v>
      </c>
      <c r="L37" s="48">
        <f ca="1">IFERROR(__xludf.DUMMYFUNCTION("""COMPUTED_VALUE"""),213)</f>
        <v>213</v>
      </c>
      <c r="M37" s="48">
        <f ca="1">IFERROR(__xludf.DUMMYFUNCTION("""COMPUTED_VALUE"""),456)</f>
        <v>456</v>
      </c>
      <c r="N37" s="48">
        <f ca="1">IFERROR(__xludf.DUMMYFUNCTION("""COMPUTED_VALUE"""),458)</f>
        <v>458</v>
      </c>
      <c r="O37" s="48">
        <f ca="1">IFERROR(__xludf.DUMMYFUNCTION("""COMPUTED_VALUE"""),246)</f>
        <v>246</v>
      </c>
      <c r="P37" s="48">
        <f ca="1">IFERROR(__xludf.DUMMYFUNCTION("""COMPUTED_VALUE"""),256)</f>
        <v>256</v>
      </c>
      <c r="Q37" s="48">
        <f ca="1">IFERROR(__xludf.DUMMYFUNCTION("""COMPUTED_VALUE"""),256)</f>
        <v>256</v>
      </c>
      <c r="R37" s="48">
        <f ca="1">IFERROR(__xludf.DUMMYFUNCTION("""COMPUTED_VALUE"""),256)</f>
        <v>256</v>
      </c>
      <c r="S37" s="48">
        <f ca="1">IFERROR(__xludf.DUMMYFUNCTION("""COMPUTED_VALUE"""),292.583333333333)</f>
        <v>292.58333333333297</v>
      </c>
    </row>
    <row r="38" spans="1:19">
      <c r="A38" s="46" t="str">
        <f ca="1">IFERROR(__xludf.DUMMYFUNCTION("""COMPUTED_VALUE"""),"VEHICULOS OFICIALES A GASOLINA")</f>
        <v>VEHICULOS OFICIALES A GASOLINA</v>
      </c>
      <c r="B38" s="46">
        <f ca="1">IFERROR(__xludf.DUMMYFUNCTION("""COMPUTED_VALUE"""),200)</f>
        <v>200</v>
      </c>
      <c r="C38" s="46" t="str">
        <f ca="1">IFERROR(__xludf.DUMMYFUNCTION("""COMPUTED_VALUE"""),"VEHICULOS OFICIALES QUE CARGARON GASOLINA")</f>
        <v>VEHICULOS OFICIALES QUE CARGARON GASOLINA</v>
      </c>
      <c r="D38" s="46" t="str">
        <f ca="1">IFERROR(__xludf.DUMMYFUNCTION("""COMPUTED_VALUE"""),"DECENDENTE")</f>
        <v>DECENDENTE</v>
      </c>
      <c r="E38" s="46" t="str">
        <f ca="1">IFERROR(__xludf.DUMMYFUNCTION("""COMPUTED_VALUE"""),"BITACORA OPERATIVA")</f>
        <v>BITACORA OPERATIVA</v>
      </c>
      <c r="F38" s="47">
        <f ca="1">IFERROR(__xludf.DUMMYFUNCTION("""COMPUTED_VALUE"""),125.666666666666)</f>
        <v>125.666666666666</v>
      </c>
      <c r="G38" s="48">
        <f ca="1">IFERROR(__xludf.DUMMYFUNCTION("""COMPUTED_VALUE"""),251)</f>
        <v>251</v>
      </c>
      <c r="H38" s="48">
        <f ca="1">IFERROR(__xludf.DUMMYFUNCTION("""COMPUTED_VALUE"""),268)</f>
        <v>268</v>
      </c>
      <c r="I38" s="48">
        <f ca="1">IFERROR(__xludf.DUMMYFUNCTION("""COMPUTED_VALUE"""),276)</f>
        <v>276</v>
      </c>
      <c r="J38" s="48">
        <f ca="1">IFERROR(__xludf.DUMMYFUNCTION("""COMPUTED_VALUE"""),180)</f>
        <v>180</v>
      </c>
      <c r="K38" s="48">
        <f ca="1">IFERROR(__xludf.DUMMYFUNCTION("""COMPUTED_VALUE"""),187)</f>
        <v>187</v>
      </c>
      <c r="L38" s="48">
        <f ca="1">IFERROR(__xludf.DUMMYFUNCTION("""COMPUTED_VALUE"""),190)</f>
        <v>190</v>
      </c>
      <c r="M38" s="48">
        <f ca="1">IFERROR(__xludf.DUMMYFUNCTION("""COMPUTED_VALUE"""),400)</f>
        <v>400</v>
      </c>
      <c r="N38" s="48">
        <f ca="1">IFERROR(__xludf.DUMMYFUNCTION("""COMPUTED_VALUE"""),400)</f>
        <v>400</v>
      </c>
      <c r="O38" s="48">
        <f ca="1">IFERROR(__xludf.DUMMYFUNCTION("""COMPUTED_VALUE"""),216)</f>
        <v>216</v>
      </c>
      <c r="P38" s="48">
        <f ca="1">IFERROR(__xludf.DUMMYFUNCTION("""COMPUTED_VALUE"""),216)</f>
        <v>216</v>
      </c>
      <c r="Q38" s="48">
        <f ca="1">IFERROR(__xludf.DUMMYFUNCTION("""COMPUTED_VALUE"""),216)</f>
        <v>216</v>
      </c>
      <c r="R38" s="48">
        <f ca="1">IFERROR(__xludf.DUMMYFUNCTION("""COMPUTED_VALUE"""),216)</f>
        <v>216</v>
      </c>
      <c r="S38" s="48">
        <f ca="1">IFERROR(__xludf.DUMMYFUNCTION("""COMPUTED_VALUE"""),251.333333333333)</f>
        <v>251.333333333333</v>
      </c>
    </row>
    <row r="39" spans="1:19">
      <c r="A39" s="46" t="str">
        <f ca="1">IFERROR(__xludf.DUMMYFUNCTION("""COMPUTED_VALUE"""),"NÚMERO DE VECES QUE CARGARON COMBUSTIBLE")</f>
        <v>NÚMERO DE VECES QUE CARGARON COMBUSTIBLE</v>
      </c>
      <c r="B39" s="46">
        <f ca="1">IFERROR(__xludf.DUMMYFUNCTION("""COMPUTED_VALUE"""),600)</f>
        <v>600</v>
      </c>
      <c r="C39" s="46" t="str">
        <f ca="1">IFERROR(__xludf.DUMMYFUNCTION("""COMPUTED_VALUE"""),"CARGAS POR VEHICULO")</f>
        <v>CARGAS POR VEHICULO</v>
      </c>
      <c r="D39" s="46" t="str">
        <f ca="1">IFERROR(__xludf.DUMMYFUNCTION("""COMPUTED_VALUE"""),"DECENDENTE")</f>
        <v>DECENDENTE</v>
      </c>
      <c r="E39" s="46" t="str">
        <f ca="1">IFERROR(__xludf.DUMMYFUNCTION("""COMPUTED_VALUE"""),"BITACORA OPERATIVA")</f>
        <v>BITACORA OPERATIVA</v>
      </c>
      <c r="F39" s="47">
        <f ca="1">IFERROR(__xludf.DUMMYFUNCTION("""COMPUTED_VALUE"""),118.486111111111)</f>
        <v>118.486111111111</v>
      </c>
      <c r="G39" s="48">
        <f ca="1">IFERROR(__xludf.DUMMYFUNCTION("""COMPUTED_VALUE"""),1011)</f>
        <v>1011</v>
      </c>
      <c r="H39" s="48">
        <f ca="1">IFERROR(__xludf.DUMMYFUNCTION("""COMPUTED_VALUE"""),1287)</f>
        <v>1287</v>
      </c>
      <c r="I39" s="48">
        <f ca="1">IFERROR(__xludf.DUMMYFUNCTION("""COMPUTED_VALUE"""),1081)</f>
        <v>1081</v>
      </c>
      <c r="J39" s="48">
        <f ca="1">IFERROR(__xludf.DUMMYFUNCTION("""COMPUTED_VALUE"""),1010)</f>
        <v>1010</v>
      </c>
      <c r="K39" s="48">
        <f ca="1">IFERROR(__xludf.DUMMYFUNCTION("""COMPUTED_VALUE"""),1114)</f>
        <v>1114</v>
      </c>
      <c r="L39" s="48">
        <f ca="1">IFERROR(__xludf.DUMMYFUNCTION("""COMPUTED_VALUE"""),1178)</f>
        <v>1178</v>
      </c>
      <c r="M39" s="48">
        <f ca="1">IFERROR(__xludf.DUMMYFUNCTION("""COMPUTED_VALUE"""),450)</f>
        <v>450</v>
      </c>
      <c r="N39" s="48">
        <f ca="1">IFERROR(__xludf.DUMMYFUNCTION("""COMPUTED_VALUE"""),460)</f>
        <v>460</v>
      </c>
      <c r="O39" s="48">
        <f ca="1">IFERROR(__xludf.DUMMYFUNCTION("""COMPUTED_VALUE"""),235)</f>
        <v>235</v>
      </c>
      <c r="P39" s="48">
        <f ca="1">IFERROR(__xludf.DUMMYFUNCTION("""COMPUTED_VALUE"""),235)</f>
        <v>235</v>
      </c>
      <c r="Q39" s="48">
        <f ca="1">IFERROR(__xludf.DUMMYFUNCTION("""COMPUTED_VALUE"""),235)</f>
        <v>235</v>
      </c>
      <c r="R39" s="48">
        <f ca="1">IFERROR(__xludf.DUMMYFUNCTION("""COMPUTED_VALUE"""),235)</f>
        <v>235</v>
      </c>
      <c r="S39" s="48">
        <f ca="1">IFERROR(__xludf.DUMMYFUNCTION("""COMPUTED_VALUE"""),710.916666666666)</f>
        <v>710.91666666666595</v>
      </c>
    </row>
    <row r="40" spans="1:19">
      <c r="A40" s="46" t="str">
        <f ca="1">IFERROR(__xludf.DUMMYFUNCTION("""COMPUTED_VALUE"""),"TOTAL DE LITROS DE GASOLINA DESPACHADA")</f>
        <v>TOTAL DE LITROS DE GASOLINA DESPACHADA</v>
      </c>
      <c r="B40" s="46">
        <f ca="1">IFERROR(__xludf.DUMMYFUNCTION("""COMPUTED_VALUE"""),1500000)</f>
        <v>1500000</v>
      </c>
      <c r="C40" s="46" t="str">
        <f ca="1">IFERROR(__xludf.DUMMYFUNCTION("""COMPUTED_VALUE"""),"LITROS")</f>
        <v>LITROS</v>
      </c>
      <c r="D40" s="46" t="str">
        <f ca="1">IFERROR(__xludf.DUMMYFUNCTION("""COMPUTED_VALUE"""),"DECENDENTE")</f>
        <v>DECENDENTE</v>
      </c>
      <c r="E40" s="46" t="str">
        <f ca="1">IFERROR(__xludf.DUMMYFUNCTION("""COMPUTED_VALUE"""),"BITACORA OPERATIVA")</f>
        <v>BITACORA OPERATIVA</v>
      </c>
      <c r="F40" s="47">
        <f ca="1">IFERROR(__xludf.DUMMYFUNCTION("""COMPUTED_VALUE"""),55.3783333333333)</f>
        <v>55.378333333333302</v>
      </c>
      <c r="G40" s="48">
        <f ca="1">IFERROR(__xludf.DUMMYFUNCTION("""COMPUTED_VALUE"""),25429)</f>
        <v>25429</v>
      </c>
      <c r="H40" s="48">
        <f ca="1">IFERROR(__xludf.DUMMYFUNCTION("""COMPUTED_VALUE"""),31694)</f>
        <v>31694</v>
      </c>
      <c r="I40" s="48">
        <f ca="1">IFERROR(__xludf.DUMMYFUNCTION("""COMPUTED_VALUE"""),34998)</f>
        <v>34998</v>
      </c>
      <c r="J40" s="48">
        <f ca="1">IFERROR(__xludf.DUMMYFUNCTION("""COMPUTED_VALUE"""),121366)</f>
        <v>121366</v>
      </c>
      <c r="K40" s="48">
        <f ca="1">IFERROR(__xludf.DUMMYFUNCTION("""COMPUTED_VALUE"""),123492)</f>
        <v>123492</v>
      </c>
      <c r="L40" s="48">
        <f ca="1">IFERROR(__xludf.DUMMYFUNCTION("""COMPUTED_VALUE"""),125803)</f>
        <v>125803</v>
      </c>
      <c r="M40" s="48">
        <f ca="1">IFERROR(__xludf.DUMMYFUNCTION("""COMPUTED_VALUE"""),79086)</f>
        <v>79086</v>
      </c>
      <c r="N40" s="48">
        <f ca="1">IFERROR(__xludf.DUMMYFUNCTION("""COMPUTED_VALUE"""),87224)</f>
        <v>87224</v>
      </c>
      <c r="O40" s="48">
        <f ca="1">IFERROR(__xludf.DUMMYFUNCTION("""COMPUTED_VALUE"""),49728)</f>
        <v>49728</v>
      </c>
      <c r="P40" s="48">
        <f ca="1">IFERROR(__xludf.DUMMYFUNCTION("""COMPUTED_VALUE"""),49725)</f>
        <v>49725</v>
      </c>
      <c r="Q40" s="48">
        <f ca="1">IFERROR(__xludf.DUMMYFUNCTION("""COMPUTED_VALUE"""),51119)</f>
        <v>51119</v>
      </c>
      <c r="R40" s="48">
        <f ca="1">IFERROR(__xludf.DUMMYFUNCTION("""COMPUTED_VALUE"""),51011)</f>
        <v>51011</v>
      </c>
      <c r="S40" s="48">
        <f ca="1">IFERROR(__xludf.DUMMYFUNCTION("""COMPUTED_VALUE"""),830675)</f>
        <v>830675</v>
      </c>
    </row>
    <row r="41" spans="1:19">
      <c r="A41" s="46" t="str">
        <f ca="1">IFERROR(__xludf.DUMMYFUNCTION("""COMPUTED_VALUE"""),"MOTOCICLETAS OFICIALES")</f>
        <v>MOTOCICLETAS OFICIALES</v>
      </c>
      <c r="B41" s="46">
        <f ca="1">IFERROR(__xludf.DUMMYFUNCTION("""COMPUTED_VALUE"""),27)</f>
        <v>27</v>
      </c>
      <c r="C41" s="46" t="str">
        <f ca="1">IFERROR(__xludf.DUMMYFUNCTION("""COMPUTED_VALUE"""),"NUMERO DE MOTOCICLETAS OFICIALES QUE CARGAN GASOLINA")</f>
        <v>NUMERO DE MOTOCICLETAS OFICIALES QUE CARGAN GASOLINA</v>
      </c>
      <c r="D41" s="46" t="str">
        <f ca="1">IFERROR(__xludf.DUMMYFUNCTION("""COMPUTED_VALUE"""),"ASCENDENTE")</f>
        <v>ASCENDENTE</v>
      </c>
      <c r="E41" s="46" t="str">
        <f ca="1">IFERROR(__xludf.DUMMYFUNCTION("""COMPUTED_VALUE"""),"BITACORA OPERATIVA")</f>
        <v>BITACORA OPERATIVA</v>
      </c>
      <c r="F41" s="47">
        <f ca="1">IFERROR(__xludf.DUMMYFUNCTION("""COMPUTED_VALUE"""),147.222222222222)</f>
        <v>147.222222222222</v>
      </c>
      <c r="G41" s="48">
        <f ca="1">IFERROR(__xludf.DUMMYFUNCTION("""COMPUTED_VALUE"""),73)</f>
        <v>73</v>
      </c>
      <c r="H41" s="48">
        <f ca="1">IFERROR(__xludf.DUMMYFUNCTION("""COMPUTED_VALUE"""),73)</f>
        <v>73</v>
      </c>
      <c r="I41" s="48">
        <f ca="1">IFERROR(__xludf.DUMMYFUNCTION("""COMPUTED_VALUE"""),73)</f>
        <v>73</v>
      </c>
      <c r="J41" s="48">
        <f ca="1">IFERROR(__xludf.DUMMYFUNCTION("""COMPUTED_VALUE"""),61)</f>
        <v>61</v>
      </c>
      <c r="K41" s="48">
        <f ca="1">IFERROR(__xludf.DUMMYFUNCTION("""COMPUTED_VALUE"""),65)</f>
        <v>65</v>
      </c>
      <c r="L41" s="48">
        <f ca="1">IFERROR(__xludf.DUMMYFUNCTION("""COMPUTED_VALUE"""),65)</f>
        <v>65</v>
      </c>
      <c r="M41" s="48">
        <f ca="1">IFERROR(__xludf.DUMMYFUNCTION("""COMPUTED_VALUE"""),12)</f>
        <v>12</v>
      </c>
      <c r="N41" s="48">
        <f ca="1">IFERROR(__xludf.DUMMYFUNCTION("""COMPUTED_VALUE"""),16)</f>
        <v>16</v>
      </c>
      <c r="O41" s="48">
        <f ca="1">IFERROR(__xludf.DUMMYFUNCTION("""COMPUTED_VALUE"""),8)</f>
        <v>8</v>
      </c>
      <c r="P41" s="48">
        <f ca="1">IFERROR(__xludf.DUMMYFUNCTION("""COMPUTED_VALUE"""),8)</f>
        <v>8</v>
      </c>
      <c r="Q41" s="48">
        <f ca="1">IFERROR(__xludf.DUMMYFUNCTION("""COMPUTED_VALUE"""),11)</f>
        <v>11</v>
      </c>
      <c r="R41" s="48">
        <f ca="1">IFERROR(__xludf.DUMMYFUNCTION("""COMPUTED_VALUE"""),12)</f>
        <v>12</v>
      </c>
      <c r="S41" s="48">
        <f ca="1">IFERROR(__xludf.DUMMYFUNCTION("""COMPUTED_VALUE"""),39.75)</f>
        <v>39.75</v>
      </c>
    </row>
    <row r="42" spans="1:19">
      <c r="A42" s="46" t="str">
        <f ca="1">IFERROR(__xludf.DUMMYFUNCTION("""COMPUTED_VALUE"""),"NÚMERO DE VECES QUE CARGARON COMBUSTIBLE")</f>
        <v>NÚMERO DE VECES QUE CARGARON COMBUSTIBLE</v>
      </c>
      <c r="B42" s="46">
        <f ca="1">IFERROR(__xludf.DUMMYFUNCTION("""COMPUTED_VALUE"""),2400)</f>
        <v>2400</v>
      </c>
      <c r="C42" s="46" t="str">
        <f ca="1">IFERROR(__xludf.DUMMYFUNCTION("""COMPUTED_VALUE"""),"CARGAS TOTALES AL MES DE MOTOCICLETAS")</f>
        <v>CARGAS TOTALES AL MES DE MOTOCICLETAS</v>
      </c>
      <c r="D42" s="46" t="str">
        <f ca="1">IFERROR(__xludf.DUMMYFUNCTION("""COMPUTED_VALUE"""),"DECENDENTE")</f>
        <v>DECENDENTE</v>
      </c>
      <c r="E42" s="46" t="str">
        <f ca="1">IFERROR(__xludf.DUMMYFUNCTION("""COMPUTED_VALUE"""),"BITACORA OPERATIVA")</f>
        <v>BITACORA OPERATIVA</v>
      </c>
      <c r="F42" s="47">
        <f ca="1">IFERROR(__xludf.DUMMYFUNCTION("""COMPUTED_VALUE"""),49.2916666666666)</f>
        <v>49.2916666666666</v>
      </c>
      <c r="G42" s="48">
        <f ca="1">IFERROR(__xludf.DUMMYFUNCTION("""COMPUTED_VALUE"""),50)</f>
        <v>50</v>
      </c>
      <c r="H42" s="48">
        <f ca="1">IFERROR(__xludf.DUMMYFUNCTION("""COMPUTED_VALUE"""),52)</f>
        <v>52</v>
      </c>
      <c r="I42" s="48">
        <f ca="1">IFERROR(__xludf.DUMMYFUNCTION("""COMPUTED_VALUE"""),61)</f>
        <v>61</v>
      </c>
      <c r="J42" s="48">
        <f ca="1">IFERROR(__xludf.DUMMYFUNCTION("""COMPUTED_VALUE"""),244)</f>
        <v>244</v>
      </c>
      <c r="K42" s="48">
        <f ca="1">IFERROR(__xludf.DUMMYFUNCTION("""COMPUTED_VALUE"""),260)</f>
        <v>260</v>
      </c>
      <c r="L42" s="48">
        <f ca="1">IFERROR(__xludf.DUMMYFUNCTION("""COMPUTED_VALUE"""),260)</f>
        <v>260</v>
      </c>
      <c r="M42" s="48">
        <f ca="1">IFERROR(__xludf.DUMMYFUNCTION("""COMPUTED_VALUE"""),48)</f>
        <v>48</v>
      </c>
      <c r="N42" s="48">
        <f ca="1">IFERROR(__xludf.DUMMYFUNCTION("""COMPUTED_VALUE"""),64)</f>
        <v>64</v>
      </c>
      <c r="O42" s="48">
        <f ca="1">IFERROR(__xludf.DUMMYFUNCTION("""COMPUTED_VALUE"""),32)</f>
        <v>32</v>
      </c>
      <c r="P42" s="48">
        <f ca="1">IFERROR(__xludf.DUMMYFUNCTION("""COMPUTED_VALUE"""),32)</f>
        <v>32</v>
      </c>
      <c r="Q42" s="48">
        <f ca="1">IFERROR(__xludf.DUMMYFUNCTION("""COMPUTED_VALUE"""),38)</f>
        <v>38</v>
      </c>
      <c r="R42" s="48">
        <f ca="1">IFERROR(__xludf.DUMMYFUNCTION("""COMPUTED_VALUE"""),42)</f>
        <v>42</v>
      </c>
      <c r="S42" s="48">
        <f ca="1">IFERROR(__xludf.DUMMYFUNCTION("""COMPUTED_VALUE"""),1183)</f>
        <v>1183</v>
      </c>
    </row>
    <row r="43" spans="1:19">
      <c r="A43" s="46" t="str">
        <f ca="1">IFERROR(__xludf.DUMMYFUNCTION("""COMPUTED_VALUE"""),"TOTAL DE LITROS DE GASOLINA DESPACHADA")</f>
        <v>TOTAL DE LITROS DE GASOLINA DESPACHADA</v>
      </c>
      <c r="B43" s="46">
        <f ca="1">IFERROR(__xludf.DUMMYFUNCTION("""COMPUTED_VALUE"""),2100)</f>
        <v>2100</v>
      </c>
      <c r="C43" s="46" t="str">
        <f ca="1">IFERROR(__xludf.DUMMYFUNCTION("""COMPUTED_VALUE"""),"TOTAL DE LITROS CARGADOS")</f>
        <v>TOTAL DE LITROS CARGADOS</v>
      </c>
      <c r="D43" s="46" t="str">
        <f ca="1">IFERROR(__xludf.DUMMYFUNCTION("""COMPUTED_VALUE"""),"DECENDENTE")</f>
        <v>DECENDENTE</v>
      </c>
      <c r="E43" s="46" t="str">
        <f ca="1">IFERROR(__xludf.DUMMYFUNCTION("""COMPUTED_VALUE"""),"BITACORA OPERATIVA")</f>
        <v>BITACORA OPERATIVA</v>
      </c>
      <c r="F43" s="47">
        <f ca="1">IFERROR(__xludf.DUMMYFUNCTION("""COMPUTED_VALUE"""),580.666666666666)</f>
        <v>580.66666666666595</v>
      </c>
      <c r="G43" s="48">
        <f ca="1">IFERROR(__xludf.DUMMYFUNCTION("""COMPUTED_VALUE"""),3446)</f>
        <v>3446</v>
      </c>
      <c r="H43" s="48">
        <f ca="1">IFERROR(__xludf.DUMMYFUNCTION("""COMPUTED_VALUE"""),3123)</f>
        <v>3123</v>
      </c>
      <c r="I43" s="48">
        <f ca="1">IFERROR(__xludf.DUMMYFUNCTION("""COMPUTED_VALUE"""),3998)</f>
        <v>3998</v>
      </c>
      <c r="J43" s="48">
        <f ca="1">IFERROR(__xludf.DUMMYFUNCTION("""COMPUTED_VALUE"""),170)</f>
        <v>170</v>
      </c>
      <c r="K43" s="48">
        <f ca="1">IFERROR(__xludf.DUMMYFUNCTION("""COMPUTED_VALUE"""),185)</f>
        <v>185</v>
      </c>
      <c r="L43" s="48">
        <f ca="1">IFERROR(__xludf.DUMMYFUNCTION("""COMPUTED_VALUE"""),185)</f>
        <v>185</v>
      </c>
      <c r="M43" s="48">
        <f ca="1">IFERROR(__xludf.DUMMYFUNCTION("""COMPUTED_VALUE"""),240)</f>
        <v>240</v>
      </c>
      <c r="N43" s="48">
        <f ca="1">IFERROR(__xludf.DUMMYFUNCTION("""COMPUTED_VALUE"""),270)</f>
        <v>270</v>
      </c>
      <c r="O43" s="48">
        <f ca="1">IFERROR(__xludf.DUMMYFUNCTION("""COMPUTED_VALUE"""),142)</f>
        <v>142</v>
      </c>
      <c r="P43" s="48">
        <f ca="1">IFERROR(__xludf.DUMMYFUNCTION("""COMPUTED_VALUE"""),145)</f>
        <v>145</v>
      </c>
      <c r="Q43" s="48">
        <f ca="1">IFERROR(__xludf.DUMMYFUNCTION("""COMPUTED_VALUE"""),145)</f>
        <v>145</v>
      </c>
      <c r="R43" s="48">
        <f ca="1">IFERROR(__xludf.DUMMYFUNCTION("""COMPUTED_VALUE"""),145)</f>
        <v>145</v>
      </c>
      <c r="S43" s="48">
        <f ca="1">IFERROR(__xludf.DUMMYFUNCTION("""COMPUTED_VALUE"""),12194)</f>
        <v>12194</v>
      </c>
    </row>
    <row r="44" spans="1:19">
      <c r="A44" s="46" t="str">
        <f ca="1">IFERROR(__xludf.DUMMYFUNCTION("""COMPUTED_VALUE"""),"VEHICULOS PARTICULARES")</f>
        <v>VEHICULOS PARTICULARES</v>
      </c>
      <c r="B44" s="46">
        <f ca="1">IFERROR(__xludf.DUMMYFUNCTION("""COMPUTED_VALUE"""),600)</f>
        <v>600</v>
      </c>
      <c r="C44" s="46" t="str">
        <f ca="1">IFERROR(__xludf.DUMMYFUNCTION("""COMPUTED_VALUE"""),"VEHICULOS PARTICULARES QUE CARGAN GASOLINA ")</f>
        <v xml:space="preserve">VEHICULOS PARTICULARES QUE CARGAN GASOLINA </v>
      </c>
      <c r="D44" s="46" t="str">
        <f ca="1">IFERROR(__xludf.DUMMYFUNCTION("""COMPUTED_VALUE"""),"ASCENDENTE")</f>
        <v>ASCENDENTE</v>
      </c>
      <c r="E44" s="46" t="str">
        <f ca="1">IFERROR(__xludf.DUMMYFUNCTION("""COMPUTED_VALUE"""),"BITACORA OPERATIVA")</f>
        <v>BITACORA OPERATIVA</v>
      </c>
      <c r="F44" s="47">
        <f ca="1">IFERROR(__xludf.DUMMYFUNCTION("""COMPUTED_VALUE"""),57.4999999999999)</f>
        <v>57.499999999999901</v>
      </c>
      <c r="G44" s="48">
        <f ca="1">IFERROR(__xludf.DUMMYFUNCTION("""COMPUTED_VALUE"""),14)</f>
        <v>14</v>
      </c>
      <c r="H44" s="48">
        <f ca="1">IFERROR(__xludf.DUMMYFUNCTION("""COMPUTED_VALUE"""),3)</f>
        <v>3</v>
      </c>
      <c r="I44" s="48">
        <f ca="1">IFERROR(__xludf.DUMMYFUNCTION("""COMPUTED_VALUE"""),7)</f>
        <v>7</v>
      </c>
      <c r="J44" s="48">
        <f ca="1">IFERROR(__xludf.DUMMYFUNCTION("""COMPUTED_VALUE"""),23)</f>
        <v>23</v>
      </c>
      <c r="K44" s="48">
        <f ca="1">IFERROR(__xludf.DUMMYFUNCTION("""COMPUTED_VALUE"""),28)</f>
        <v>28</v>
      </c>
      <c r="L44" s="48">
        <f ca="1">IFERROR(__xludf.DUMMYFUNCTION("""COMPUTED_VALUE"""),28)</f>
        <v>28</v>
      </c>
      <c r="M44" s="48">
        <f ca="1">IFERROR(__xludf.DUMMYFUNCTION("""COMPUTED_VALUE"""),56)</f>
        <v>56</v>
      </c>
      <c r="N44" s="48">
        <f ca="1">IFERROR(__xludf.DUMMYFUNCTION("""COMPUTED_VALUE"""),60)</f>
        <v>60</v>
      </c>
      <c r="O44" s="48">
        <f ca="1">IFERROR(__xludf.DUMMYFUNCTION("""COMPUTED_VALUE"""),30)</f>
        <v>30</v>
      </c>
      <c r="P44" s="48">
        <f ca="1">IFERROR(__xludf.DUMMYFUNCTION("""COMPUTED_VALUE"""),30)</f>
        <v>30</v>
      </c>
      <c r="Q44" s="48">
        <f ca="1">IFERROR(__xludf.DUMMYFUNCTION("""COMPUTED_VALUE"""),32)</f>
        <v>32</v>
      </c>
      <c r="R44" s="48">
        <f ca="1">IFERROR(__xludf.DUMMYFUNCTION("""COMPUTED_VALUE"""),34)</f>
        <v>34</v>
      </c>
      <c r="S44" s="48">
        <f ca="1">IFERROR(__xludf.DUMMYFUNCTION("""COMPUTED_VALUE"""),345)</f>
        <v>345</v>
      </c>
    </row>
    <row r="45" spans="1:19">
      <c r="A45" s="46" t="str">
        <f ca="1">IFERROR(__xludf.DUMMYFUNCTION("""COMPUTED_VALUE"""),"NÚMERO DE VECES QUE CARGARON COMBUSTIBLE")</f>
        <v>NÚMERO DE VECES QUE CARGARON COMBUSTIBLE</v>
      </c>
      <c r="B45" s="46">
        <f ca="1">IFERROR(__xludf.DUMMYFUNCTION("""COMPUTED_VALUE"""),1100)</f>
        <v>1100</v>
      </c>
      <c r="C45" s="46" t="str">
        <f ca="1">IFERROR(__xludf.DUMMYFUNCTION("""COMPUTED_VALUE"""),"CARGAS POR VEHICULO")</f>
        <v>CARGAS POR VEHICULO</v>
      </c>
      <c r="D45" s="46" t="str">
        <f ca="1">IFERROR(__xludf.DUMMYFUNCTION("""COMPUTED_VALUE"""),"ASCENDENTE")</f>
        <v>ASCENDENTE</v>
      </c>
      <c r="E45" s="46" t="str">
        <f ca="1">IFERROR(__xludf.DUMMYFUNCTION("""COMPUTED_VALUE"""),"BITACORA OPERATIVA")</f>
        <v>BITACORA OPERATIVA</v>
      </c>
      <c r="F45" s="47">
        <f ca="1">IFERROR(__xludf.DUMMYFUNCTION("""COMPUTED_VALUE"""),124.818181818181)</f>
        <v>124.818181818181</v>
      </c>
      <c r="G45" s="48">
        <f ca="1">IFERROR(__xludf.DUMMYFUNCTION("""COMPUTED_VALUE"""),56)</f>
        <v>56</v>
      </c>
      <c r="H45" s="48">
        <f ca="1">IFERROR(__xludf.DUMMYFUNCTION("""COMPUTED_VALUE"""),12)</f>
        <v>12</v>
      </c>
      <c r="I45" s="48">
        <f ca="1">IFERROR(__xludf.DUMMYFUNCTION("""COMPUTED_VALUE"""),21)</f>
        <v>21</v>
      </c>
      <c r="J45" s="48">
        <f ca="1">IFERROR(__xludf.DUMMYFUNCTION("""COMPUTED_VALUE"""),92)</f>
        <v>92</v>
      </c>
      <c r="K45" s="48">
        <f ca="1">IFERROR(__xludf.DUMMYFUNCTION("""COMPUTED_VALUE"""),112)</f>
        <v>112</v>
      </c>
      <c r="L45" s="48">
        <f ca="1">IFERROR(__xludf.DUMMYFUNCTION("""COMPUTED_VALUE"""),112)</f>
        <v>112</v>
      </c>
      <c r="M45" s="48">
        <f ca="1">IFERROR(__xludf.DUMMYFUNCTION("""COMPUTED_VALUE"""),224)</f>
        <v>224</v>
      </c>
      <c r="N45" s="48">
        <f ca="1">IFERROR(__xludf.DUMMYFUNCTION("""COMPUTED_VALUE"""),240)</f>
        <v>240</v>
      </c>
      <c r="O45" s="48">
        <f ca="1">IFERROR(__xludf.DUMMYFUNCTION("""COMPUTED_VALUE"""),120)</f>
        <v>120</v>
      </c>
      <c r="P45" s="48">
        <f ca="1">IFERROR(__xludf.DUMMYFUNCTION("""COMPUTED_VALUE"""),120)</f>
        <v>120</v>
      </c>
      <c r="Q45" s="48">
        <f ca="1">IFERROR(__xludf.DUMMYFUNCTION("""COMPUTED_VALUE"""),128)</f>
        <v>128</v>
      </c>
      <c r="R45" s="48">
        <f ca="1">IFERROR(__xludf.DUMMYFUNCTION("""COMPUTED_VALUE"""),136)</f>
        <v>136</v>
      </c>
      <c r="S45" s="48">
        <f ca="1">IFERROR(__xludf.DUMMYFUNCTION("""COMPUTED_VALUE"""),1373)</f>
        <v>1373</v>
      </c>
    </row>
    <row r="46" spans="1:19">
      <c r="A46" s="46" t="str">
        <f ca="1">IFERROR(__xludf.DUMMYFUNCTION("""COMPUTED_VALUE"""),"TOTAL DE LITROS DE GASOLINA DESPACHADA")</f>
        <v>TOTAL DE LITROS DE GASOLINA DESPACHADA</v>
      </c>
      <c r="B46" s="46">
        <f ca="1">IFERROR(__xludf.DUMMYFUNCTION("""COMPUTED_VALUE"""),30000)</f>
        <v>30000</v>
      </c>
      <c r="C46" s="46" t="str">
        <f ca="1">IFERROR(__xludf.DUMMYFUNCTION("""COMPUTED_VALUE"""),"LITROS DESPACHADOS")</f>
        <v>LITROS DESPACHADOS</v>
      </c>
      <c r="D46" s="46" t="str">
        <f ca="1">IFERROR(__xludf.DUMMYFUNCTION("""COMPUTED_VALUE"""),"ASCENDENTE")</f>
        <v>ASCENDENTE</v>
      </c>
      <c r="E46" s="46" t="str">
        <f ca="1">IFERROR(__xludf.DUMMYFUNCTION("""COMPUTED_VALUE"""),"BITACORA OPERATIVA")</f>
        <v>BITACORA OPERATIVA</v>
      </c>
      <c r="F46" s="47">
        <f ca="1">IFERROR(__xludf.DUMMYFUNCTION("""COMPUTED_VALUE"""),112)</f>
        <v>112</v>
      </c>
      <c r="G46" s="48">
        <f ca="1">IFERROR(__xludf.DUMMYFUNCTION("""COMPUTED_VALUE"""),1560)</f>
        <v>1560</v>
      </c>
      <c r="H46" s="48">
        <f ca="1">IFERROR(__xludf.DUMMYFUNCTION("""COMPUTED_VALUE"""),1680)</f>
        <v>1680</v>
      </c>
      <c r="I46" s="48">
        <f ca="1">IFERROR(__xludf.DUMMYFUNCTION("""COMPUTED_VALUE"""),2280)</f>
        <v>2280</v>
      </c>
      <c r="J46" s="48">
        <f ca="1">IFERROR(__xludf.DUMMYFUNCTION("""COMPUTED_VALUE"""),1960)</f>
        <v>1960</v>
      </c>
      <c r="K46" s="48">
        <f ca="1">IFERROR(__xludf.DUMMYFUNCTION("""COMPUTED_VALUE"""),2400)</f>
        <v>2400</v>
      </c>
      <c r="L46" s="48">
        <f ca="1">IFERROR(__xludf.DUMMYFUNCTION("""COMPUTED_VALUE"""),2400)</f>
        <v>2400</v>
      </c>
      <c r="M46" s="48">
        <f ca="1">IFERROR(__xludf.DUMMYFUNCTION("""COMPUTED_VALUE"""),4820)</f>
        <v>4820</v>
      </c>
      <c r="N46" s="48">
        <f ca="1">IFERROR(__xludf.DUMMYFUNCTION("""COMPUTED_VALUE"""),5580)</f>
        <v>5580</v>
      </c>
      <c r="O46" s="48">
        <f ca="1">IFERROR(__xludf.DUMMYFUNCTION("""COMPUTED_VALUE"""),2810)</f>
        <v>2810</v>
      </c>
      <c r="P46" s="48">
        <f ca="1">IFERROR(__xludf.DUMMYFUNCTION("""COMPUTED_VALUE"""),2081)</f>
        <v>2081</v>
      </c>
      <c r="Q46" s="48">
        <f ca="1">IFERROR(__xludf.DUMMYFUNCTION("""COMPUTED_VALUE"""),3047)</f>
        <v>3047</v>
      </c>
      <c r="R46" s="48">
        <f ca="1">IFERROR(__xludf.DUMMYFUNCTION("""COMPUTED_VALUE"""),2982)</f>
        <v>2982</v>
      </c>
      <c r="S46" s="48">
        <f ca="1">IFERROR(__xludf.DUMMYFUNCTION("""COMPUTED_VALUE"""),33600)</f>
        <v>33600</v>
      </c>
    </row>
    <row r="47" spans="1:19">
      <c r="A47" s="46" t="str">
        <f ca="1">IFERROR(__xludf.DUMMYFUNCTION("""COMPUTED_VALUE"""),"MOTOCICLETAS PARTICULARES")</f>
        <v>MOTOCICLETAS PARTICULARES</v>
      </c>
      <c r="B47" s="46">
        <f ca="1">IFERROR(__xludf.DUMMYFUNCTION("""COMPUTED_VALUE"""),70)</f>
        <v>70</v>
      </c>
      <c r="C47" s="46" t="str">
        <f ca="1">IFERROR(__xludf.DUMMYFUNCTION("""COMPUTED_VALUE""")," MOTOCICLETAS PARTICULARES QUE SE LES CARGO CUMBUSTIBLE")</f>
        <v xml:space="preserve"> MOTOCICLETAS PARTICULARES QUE SE LES CARGO CUMBUSTIBLE</v>
      </c>
      <c r="D47" s="46" t="str">
        <f ca="1">IFERROR(__xludf.DUMMYFUNCTION("""COMPUTED_VALUE"""),"ASCENDENTE")</f>
        <v>ASCENDENTE</v>
      </c>
      <c r="E47" s="46" t="str">
        <f ca="1">IFERROR(__xludf.DUMMYFUNCTION("""COMPUTED_VALUE"""),"BITACORA OPERATIVA")</f>
        <v>BITACORA OPERATIVA</v>
      </c>
      <c r="F47" s="47">
        <f ca="1">IFERROR(__xludf.DUMMYFUNCTION("""COMPUTED_VALUE"""),94.2857142857142)</f>
        <v>94.285714285714207</v>
      </c>
      <c r="G47" s="48">
        <f ca="1">IFERROR(__xludf.DUMMYFUNCTION("""COMPUTED_VALUE"""),4)</f>
        <v>4</v>
      </c>
      <c r="H47" s="48">
        <f ca="1">IFERROR(__xludf.DUMMYFUNCTION("""COMPUTED_VALUE"""),0)</f>
        <v>0</v>
      </c>
      <c r="I47" s="48">
        <f ca="1">IFERROR(__xludf.DUMMYFUNCTION("""COMPUTED_VALUE"""),1)</f>
        <v>1</v>
      </c>
      <c r="J47" s="48">
        <f ca="1">IFERROR(__xludf.DUMMYFUNCTION("""COMPUTED_VALUE"""),5)</f>
        <v>5</v>
      </c>
      <c r="K47" s="48">
        <f ca="1">IFERROR(__xludf.DUMMYFUNCTION("""COMPUTED_VALUE"""),5)</f>
        <v>5</v>
      </c>
      <c r="L47" s="48">
        <f ca="1">IFERROR(__xludf.DUMMYFUNCTION("""COMPUTED_VALUE"""),5)</f>
        <v>5</v>
      </c>
      <c r="M47" s="48">
        <f ca="1">IFERROR(__xludf.DUMMYFUNCTION("""COMPUTED_VALUE"""),10)</f>
        <v>10</v>
      </c>
      <c r="N47" s="48">
        <f ca="1">IFERROR(__xludf.DUMMYFUNCTION("""COMPUTED_VALUE"""),12)</f>
        <v>12</v>
      </c>
      <c r="O47" s="48">
        <f ca="1">IFERROR(__xludf.DUMMYFUNCTION("""COMPUTED_VALUE"""),6)</f>
        <v>6</v>
      </c>
      <c r="P47" s="48">
        <f ca="1">IFERROR(__xludf.DUMMYFUNCTION("""COMPUTED_VALUE"""),6)</f>
        <v>6</v>
      </c>
      <c r="Q47" s="48">
        <f ca="1">IFERROR(__xludf.DUMMYFUNCTION("""COMPUTED_VALUE"""),6)</f>
        <v>6</v>
      </c>
      <c r="R47" s="48">
        <f ca="1">IFERROR(__xludf.DUMMYFUNCTION("""COMPUTED_VALUE"""),6)</f>
        <v>6</v>
      </c>
      <c r="S47" s="48">
        <f ca="1">IFERROR(__xludf.DUMMYFUNCTION("""COMPUTED_VALUE"""),66)</f>
        <v>66</v>
      </c>
    </row>
    <row r="48" spans="1:19">
      <c r="A48" s="46" t="str">
        <f ca="1">IFERROR(__xludf.DUMMYFUNCTION("""COMPUTED_VALUE"""),"NÚMERO DE VECES QUE CARGARON COMBUSTIBLE")</f>
        <v>NÚMERO DE VECES QUE CARGARON COMBUSTIBLE</v>
      </c>
      <c r="B48" s="46">
        <f ca="1">IFERROR(__xludf.DUMMYFUNCTION("""COMPUTED_VALUE"""),290)</f>
        <v>290</v>
      </c>
      <c r="C48" s="46" t="str">
        <f ca="1">IFERROR(__xludf.DUMMYFUNCTION("""COMPUTED_VALUE"""),"CARGAS POR VEHICULO")</f>
        <v>CARGAS POR VEHICULO</v>
      </c>
      <c r="D48" s="46" t="str">
        <f ca="1">IFERROR(__xludf.DUMMYFUNCTION("""COMPUTED_VALUE"""),"ASCENDENTE")</f>
        <v>ASCENDENTE</v>
      </c>
      <c r="E48" s="46" t="str">
        <f ca="1">IFERROR(__xludf.DUMMYFUNCTION("""COMPUTED_VALUE"""),"BITACORA OPERATIVA")</f>
        <v>BITACORA OPERATIVA</v>
      </c>
      <c r="F48" s="47">
        <f ca="1">IFERROR(__xludf.DUMMYFUNCTION("""COMPUTED_VALUE"""),91.7241379310344)</f>
        <v>91.724137931034406</v>
      </c>
      <c r="G48" s="48">
        <f ca="1">IFERROR(__xludf.DUMMYFUNCTION("""COMPUTED_VALUE"""),16)</f>
        <v>16</v>
      </c>
      <c r="H48" s="48">
        <f ca="1">IFERROR(__xludf.DUMMYFUNCTION("""COMPUTED_VALUE"""),0)</f>
        <v>0</v>
      </c>
      <c r="I48" s="48">
        <f ca="1">IFERROR(__xludf.DUMMYFUNCTION("""COMPUTED_VALUE"""),4)</f>
        <v>4</v>
      </c>
      <c r="J48" s="48">
        <f ca="1">IFERROR(__xludf.DUMMYFUNCTION("""COMPUTED_VALUE"""),20)</f>
        <v>20</v>
      </c>
      <c r="K48" s="48">
        <f ca="1">IFERROR(__xludf.DUMMYFUNCTION("""COMPUTED_VALUE"""),20)</f>
        <v>20</v>
      </c>
      <c r="L48" s="48">
        <f ca="1">IFERROR(__xludf.DUMMYFUNCTION("""COMPUTED_VALUE"""),20)</f>
        <v>20</v>
      </c>
      <c r="M48" s="48">
        <f ca="1">IFERROR(__xludf.DUMMYFUNCTION("""COMPUTED_VALUE"""),40)</f>
        <v>40</v>
      </c>
      <c r="N48" s="48">
        <f ca="1">IFERROR(__xludf.DUMMYFUNCTION("""COMPUTED_VALUE"""),50)</f>
        <v>50</v>
      </c>
      <c r="O48" s="48">
        <f ca="1">IFERROR(__xludf.DUMMYFUNCTION("""COMPUTED_VALUE"""),24)</f>
        <v>24</v>
      </c>
      <c r="P48" s="48">
        <f ca="1">IFERROR(__xludf.DUMMYFUNCTION("""COMPUTED_VALUE"""),24)</f>
        <v>24</v>
      </c>
      <c r="Q48" s="48">
        <f ca="1">IFERROR(__xludf.DUMMYFUNCTION("""COMPUTED_VALUE"""),24)</f>
        <v>24</v>
      </c>
      <c r="R48" s="48">
        <f ca="1">IFERROR(__xludf.DUMMYFUNCTION("""COMPUTED_VALUE"""),24)</f>
        <v>24</v>
      </c>
      <c r="S48" s="48">
        <f ca="1">IFERROR(__xludf.DUMMYFUNCTION("""COMPUTED_VALUE"""),266)</f>
        <v>266</v>
      </c>
    </row>
    <row r="49" spans="1:19">
      <c r="A49" s="46" t="str">
        <f ca="1">IFERROR(__xludf.DUMMYFUNCTION("""COMPUTED_VALUE"""),"TOTAL DE LITROS DE GASOLINA DESPACHADA")</f>
        <v>TOTAL DE LITROS DE GASOLINA DESPACHADA</v>
      </c>
      <c r="B49" s="46">
        <f ca="1">IFERROR(__xludf.DUMMYFUNCTION("""COMPUTED_VALUE"""),1300)</f>
        <v>1300</v>
      </c>
      <c r="C49" s="46" t="str">
        <f ca="1">IFERROR(__xludf.DUMMYFUNCTION("""COMPUTED_VALUE"""),"CARGAS POR VEHICULO")</f>
        <v>CARGAS POR VEHICULO</v>
      </c>
      <c r="D49" s="46" t="str">
        <f ca="1">IFERROR(__xludf.DUMMYFUNCTION("""COMPUTED_VALUE"""),"ASCENDENTE")</f>
        <v>ASCENDENTE</v>
      </c>
      <c r="E49" s="46" t="str">
        <f ca="1">IFERROR(__xludf.DUMMYFUNCTION("""COMPUTED_VALUE"""),"BITACORA OPERATIVA")</f>
        <v>BITACORA OPERATIVA</v>
      </c>
      <c r="F49" s="47">
        <f ca="1">IFERROR(__xludf.DUMMYFUNCTION("""COMPUTED_VALUE"""),122.307692307692)</f>
        <v>122.30769230769199</v>
      </c>
      <c r="G49" s="48">
        <f ca="1">IFERROR(__xludf.DUMMYFUNCTION("""COMPUTED_VALUE"""),140)</f>
        <v>140</v>
      </c>
      <c r="H49" s="48">
        <f ca="1">IFERROR(__xludf.DUMMYFUNCTION("""COMPUTED_VALUE"""),0)</f>
        <v>0</v>
      </c>
      <c r="I49" s="48">
        <f ca="1">IFERROR(__xludf.DUMMYFUNCTION("""COMPUTED_VALUE"""),20)</f>
        <v>20</v>
      </c>
      <c r="J49" s="48">
        <f ca="1">IFERROR(__xludf.DUMMYFUNCTION("""COMPUTED_VALUE"""),160)</f>
        <v>160</v>
      </c>
      <c r="K49" s="48">
        <f ca="1">IFERROR(__xludf.DUMMYFUNCTION("""COMPUTED_VALUE"""),160)</f>
        <v>160</v>
      </c>
      <c r="L49" s="48">
        <f ca="1">IFERROR(__xludf.DUMMYFUNCTION("""COMPUTED_VALUE"""),160)</f>
        <v>160</v>
      </c>
      <c r="M49" s="48">
        <f ca="1">IFERROR(__xludf.DUMMYFUNCTION("""COMPUTED_VALUE"""),200)</f>
        <v>200</v>
      </c>
      <c r="N49" s="48">
        <f ca="1">IFERROR(__xludf.DUMMYFUNCTION("""COMPUTED_VALUE"""),250)</f>
        <v>250</v>
      </c>
      <c r="O49" s="48">
        <f ca="1">IFERROR(__xludf.DUMMYFUNCTION("""COMPUTED_VALUE"""),125)</f>
        <v>125</v>
      </c>
      <c r="P49" s="48">
        <f ca="1">IFERROR(__xludf.DUMMYFUNCTION("""COMPUTED_VALUE"""),125)</f>
        <v>125</v>
      </c>
      <c r="Q49" s="48">
        <f ca="1">IFERROR(__xludf.DUMMYFUNCTION("""COMPUTED_VALUE"""),125)</f>
        <v>125</v>
      </c>
      <c r="R49" s="48">
        <f ca="1">IFERROR(__xludf.DUMMYFUNCTION("""COMPUTED_VALUE"""),125)</f>
        <v>125</v>
      </c>
      <c r="S49" s="48">
        <f ca="1">IFERROR(__xludf.DUMMYFUNCTION("""COMPUTED_VALUE"""),1590)</f>
        <v>1590</v>
      </c>
    </row>
    <row r="50" spans="1:19">
      <c r="A50" s="46" t="str">
        <f ca="1">IFERROR(__xludf.DUMMYFUNCTION("""COMPUTED_VALUE"""),"TOTAL  DE  NOTAS PARA FACTURAR")</f>
        <v>TOTAL  DE  NOTAS PARA FACTURAR</v>
      </c>
      <c r="B50" s="46">
        <f ca="1">IFERROR(__xludf.DUMMYFUNCTION("""COMPUTED_VALUE"""),1850)</f>
        <v>1850</v>
      </c>
      <c r="C50" s="46" t="str">
        <f ca="1">IFERROR(__xludf.DUMMYFUNCTION("""COMPUTED_VALUE"""),"NOTAS")</f>
        <v>NOTAS</v>
      </c>
      <c r="D50" s="46" t="str">
        <f ca="1">IFERROR(__xludf.DUMMYFUNCTION("""COMPUTED_VALUE"""),"ASCENDENTE")</f>
        <v>ASCENDENTE</v>
      </c>
      <c r="E50" s="46" t="str">
        <f ca="1">IFERROR(__xludf.DUMMYFUNCTION("""COMPUTED_VALUE"""),"BITACORA OPERATIVA")</f>
        <v>BITACORA OPERATIVA</v>
      </c>
      <c r="F50" s="47">
        <f ca="1">IFERROR(__xludf.DUMMYFUNCTION("""COMPUTED_VALUE"""),137.891891891891)</f>
        <v>137.89189189189099</v>
      </c>
      <c r="G50" s="48">
        <f ca="1">IFERROR(__xludf.DUMMYFUNCTION("""COMPUTED_VALUE"""),120)</f>
        <v>120</v>
      </c>
      <c r="H50" s="48">
        <f ca="1">IFERROR(__xludf.DUMMYFUNCTION("""COMPUTED_VALUE"""),117)</f>
        <v>117</v>
      </c>
      <c r="I50" s="48">
        <f ca="1">IFERROR(__xludf.DUMMYFUNCTION("""COMPUTED_VALUE"""),164)</f>
        <v>164</v>
      </c>
      <c r="J50" s="48">
        <f ca="1">IFERROR(__xludf.DUMMYFUNCTION("""COMPUTED_VALUE"""),164)</f>
        <v>164</v>
      </c>
      <c r="K50" s="48">
        <f ca="1">IFERROR(__xludf.DUMMYFUNCTION("""COMPUTED_VALUE"""),185)</f>
        <v>185</v>
      </c>
      <c r="L50" s="48">
        <f ca="1">IFERROR(__xludf.DUMMYFUNCTION("""COMPUTED_VALUE"""),185)</f>
        <v>185</v>
      </c>
      <c r="M50" s="48">
        <f ca="1">IFERROR(__xludf.DUMMYFUNCTION("""COMPUTED_VALUE"""),366)</f>
        <v>366</v>
      </c>
      <c r="N50" s="48">
        <f ca="1">IFERROR(__xludf.DUMMYFUNCTION("""COMPUTED_VALUE"""),408)</f>
        <v>408</v>
      </c>
      <c r="O50" s="48">
        <f ca="1">IFERROR(__xludf.DUMMYFUNCTION("""COMPUTED_VALUE"""),205)</f>
        <v>205</v>
      </c>
      <c r="P50" s="48">
        <f ca="1">IFERROR(__xludf.DUMMYFUNCTION("""COMPUTED_VALUE"""),210)</f>
        <v>210</v>
      </c>
      <c r="Q50" s="48">
        <f ca="1">IFERROR(__xludf.DUMMYFUNCTION("""COMPUTED_VALUE"""),212)</f>
        <v>212</v>
      </c>
      <c r="R50" s="48">
        <f ca="1">IFERROR(__xludf.DUMMYFUNCTION("""COMPUTED_VALUE"""),215)</f>
        <v>215</v>
      </c>
      <c r="S50" s="48">
        <f ca="1">IFERROR(__xludf.DUMMYFUNCTION("""COMPUTED_VALUE"""),2551)</f>
        <v>2551</v>
      </c>
    </row>
    <row r="51" spans="1:19">
      <c r="A51" s="46" t="str">
        <f ca="1">IFERROR(__xludf.DUMMYFUNCTION("""COMPUTED_VALUE"""),"MONTO MENSUAL A PAGAR (EN PESOS)")</f>
        <v>MONTO MENSUAL A PAGAR (EN PESOS)</v>
      </c>
      <c r="B51" s="46">
        <f ca="1">IFERROR(__xludf.DUMMYFUNCTION("""COMPUTED_VALUE"""),24000000)</f>
        <v>24000000</v>
      </c>
      <c r="C51" s="46" t="str">
        <f ca="1">IFERROR(__xludf.DUMMYFUNCTION("""COMPUTED_VALUE"""),"COSTO APROXIMADO DE LAS CARGAS DE GASOLINA")</f>
        <v>COSTO APROXIMADO DE LAS CARGAS DE GASOLINA</v>
      </c>
      <c r="D51" s="46" t="str">
        <f ca="1">IFERROR(__xludf.DUMMYFUNCTION("""COMPUTED_VALUE"""),"ASCENDENTE")</f>
        <v>ASCENDENTE</v>
      </c>
      <c r="E51" s="46" t="str">
        <f ca="1">IFERROR(__xludf.DUMMYFUNCTION("""COMPUTED_VALUE"""),"BITACORA OPERATIVA")</f>
        <v>BITACORA OPERATIVA</v>
      </c>
      <c r="F51" s="47">
        <f ca="1">IFERROR(__xludf.DUMMYFUNCTION("""COMPUTED_VALUE"""),95.9747416666666)</f>
        <v>95.974741666666603</v>
      </c>
      <c r="G51" s="48">
        <f ca="1">IFERROR(__xludf.DUMMYFUNCTION("""COMPUTED_VALUE"""),1430365)</f>
        <v>1430365</v>
      </c>
      <c r="H51" s="48">
        <f ca="1">IFERROR(__xludf.DUMMYFUNCTION("""COMPUTED_VALUE"""),1349032)</f>
        <v>1349032</v>
      </c>
      <c r="I51" s="48">
        <f ca="1">IFERROR(__xludf.DUMMYFUNCTION("""COMPUTED_VALUE"""),1502457)</f>
        <v>1502457</v>
      </c>
      <c r="J51" s="48">
        <f ca="1">IFERROR(__xludf.DUMMYFUNCTION("""COMPUTED_VALUE"""),1491026)</f>
        <v>1491026</v>
      </c>
      <c r="K51" s="48">
        <f ca="1">IFERROR(__xludf.DUMMYFUNCTION("""COMPUTED_VALUE"""),1716096)</f>
        <v>1716096</v>
      </c>
      <c r="L51" s="48">
        <f ca="1">IFERROR(__xludf.DUMMYFUNCTION("""COMPUTED_VALUE"""),1812310)</f>
        <v>1812310</v>
      </c>
      <c r="M51" s="48">
        <f ca="1">IFERROR(__xludf.DUMMYFUNCTION("""COMPUTED_VALUE"""),2965486)</f>
        <v>2965486</v>
      </c>
      <c r="N51" s="48">
        <f ca="1">IFERROR(__xludf.DUMMYFUNCTION("""COMPUTED_VALUE"""),3674128)</f>
        <v>3674128</v>
      </c>
      <c r="O51" s="48">
        <f ca="1">IFERROR(__xludf.DUMMYFUNCTION("""COMPUTED_VALUE"""),1587949)</f>
        <v>1587949</v>
      </c>
      <c r="P51" s="48">
        <f ca="1">IFERROR(__xludf.DUMMYFUNCTION("""COMPUTED_VALUE"""),1761691)</f>
        <v>1761691</v>
      </c>
      <c r="Q51" s="48">
        <f ca="1">IFERROR(__xludf.DUMMYFUNCTION("""COMPUTED_VALUE"""),1833304)</f>
        <v>1833304</v>
      </c>
      <c r="R51" s="48">
        <f ca="1">IFERROR(__xludf.DUMMYFUNCTION("""COMPUTED_VALUE"""),1910094)</f>
        <v>1910094</v>
      </c>
      <c r="S51" s="48">
        <f ca="1">IFERROR(__xludf.DUMMYFUNCTION("""COMPUTED_VALUE"""),23033938)</f>
        <v>23033938</v>
      </c>
    </row>
    <row r="52" spans="1:19">
      <c r="A52" s="46" t="str">
        <f ca="1">IFERROR(__xludf.DUMMYFUNCTION("""COMPUTED_VALUE"""),"VEHICULOS OFICIALES A DIESEL")</f>
        <v>VEHICULOS OFICIALES A DIESEL</v>
      </c>
      <c r="B52" s="46">
        <f ca="1">IFERROR(__xludf.DUMMYFUNCTION("""COMPUTED_VALUE"""),720)</f>
        <v>720</v>
      </c>
      <c r="C52" s="46" t="str">
        <f ca="1">IFERROR(__xludf.DUMMYFUNCTION("""COMPUTED_VALUE"""),"TOTAL DE VEHICULOS A DIESEL QUE CARGAN GASOLINA")</f>
        <v>TOTAL DE VEHICULOS A DIESEL QUE CARGAN GASOLINA</v>
      </c>
      <c r="D52" s="46" t="str">
        <f ca="1">IFERROR(__xludf.DUMMYFUNCTION("""COMPUTED_VALUE"""),"ASCENDENTE")</f>
        <v>ASCENDENTE</v>
      </c>
      <c r="E52" s="46" t="str">
        <f ca="1">IFERROR(__xludf.DUMMYFUNCTION("""COMPUTED_VALUE"""),"BITACORA OPERATIVA")</f>
        <v>BITACORA OPERATIVA</v>
      </c>
      <c r="F52" s="47">
        <f ca="1">IFERROR(__xludf.DUMMYFUNCTION("""COMPUTED_VALUE"""),82.6388888888888)</f>
        <v>82.6388888888888</v>
      </c>
      <c r="G52" s="48">
        <f ca="1">IFERROR(__xludf.DUMMYFUNCTION("""COMPUTED_VALUE"""),43)</f>
        <v>43</v>
      </c>
      <c r="H52" s="48">
        <f ca="1">IFERROR(__xludf.DUMMYFUNCTION("""COMPUTED_VALUE"""),43)</f>
        <v>43</v>
      </c>
      <c r="I52" s="48">
        <f ca="1">IFERROR(__xludf.DUMMYFUNCTION("""COMPUTED_VALUE"""),45)</f>
        <v>45</v>
      </c>
      <c r="J52" s="48">
        <f ca="1">IFERROR(__xludf.DUMMYFUNCTION("""COMPUTED_VALUE"""),45)</f>
        <v>45</v>
      </c>
      <c r="K52" s="48">
        <f ca="1">IFERROR(__xludf.DUMMYFUNCTION("""COMPUTED_VALUE"""),45)</f>
        <v>45</v>
      </c>
      <c r="L52" s="48">
        <f ca="1">IFERROR(__xludf.DUMMYFUNCTION("""COMPUTED_VALUE"""),45)</f>
        <v>45</v>
      </c>
      <c r="M52" s="48">
        <f ca="1">IFERROR(__xludf.DUMMYFUNCTION("""COMPUTED_VALUE"""),90)</f>
        <v>90</v>
      </c>
      <c r="N52" s="48">
        <f ca="1">IFERROR(__xludf.DUMMYFUNCTION("""COMPUTED_VALUE"""),92)</f>
        <v>92</v>
      </c>
      <c r="O52" s="48">
        <f ca="1">IFERROR(__xludf.DUMMYFUNCTION("""COMPUTED_VALUE"""),46)</f>
        <v>46</v>
      </c>
      <c r="P52" s="48">
        <f ca="1">IFERROR(__xludf.DUMMYFUNCTION("""COMPUTED_VALUE"""),32)</f>
        <v>32</v>
      </c>
      <c r="Q52" s="48">
        <f ca="1">IFERROR(__xludf.DUMMYFUNCTION("""COMPUTED_VALUE"""),33)</f>
        <v>33</v>
      </c>
      <c r="R52" s="48">
        <f ca="1">IFERROR(__xludf.DUMMYFUNCTION("""COMPUTED_VALUE"""),36)</f>
        <v>36</v>
      </c>
      <c r="S52" s="48">
        <f ca="1">IFERROR(__xludf.DUMMYFUNCTION("""COMPUTED_VALUE"""),595)</f>
        <v>595</v>
      </c>
    </row>
    <row r="53" spans="1:19">
      <c r="A53" s="46" t="str">
        <f ca="1">IFERROR(__xludf.DUMMYFUNCTION("""COMPUTED_VALUE"""),"NÚMERO DE VECES QUE CARGARON COMBUSTIBLE")</f>
        <v>NÚMERO DE VECES QUE CARGARON COMBUSTIBLE</v>
      </c>
      <c r="B53" s="46">
        <f ca="1">IFERROR(__xludf.DUMMYFUNCTION("""COMPUTED_VALUE"""),150000)</f>
        <v>150000</v>
      </c>
      <c r="C53" s="46" t="str">
        <f ca="1">IFERROR(__xludf.DUMMYFUNCTION("""COMPUTED_VALUE"""),"NUMERO DE VECES QUE CARGAN COMBUSTIBLE LOS VEHICULOS DIESEL")</f>
        <v>NUMERO DE VECES QUE CARGAN COMBUSTIBLE LOS VEHICULOS DIESEL</v>
      </c>
      <c r="D53" s="46" t="str">
        <f ca="1">IFERROR(__xludf.DUMMYFUNCTION("""COMPUTED_VALUE"""),"ASCENDENTE")</f>
        <v>ASCENDENTE</v>
      </c>
      <c r="E53" s="46" t="str">
        <f ca="1">IFERROR(__xludf.DUMMYFUNCTION("""COMPUTED_VALUE"""),"BITACORA OPERATIVA")</f>
        <v>BITACORA OPERATIVA</v>
      </c>
      <c r="F53" s="47">
        <f ca="1">IFERROR(__xludf.DUMMYFUNCTION("""COMPUTED_VALUE"""),0.557999999999999)</f>
        <v>0.55799999999999905</v>
      </c>
      <c r="G53" s="48">
        <f ca="1">IFERROR(__xludf.DUMMYFUNCTION("""COMPUTED_VALUE"""),115)</f>
        <v>115</v>
      </c>
      <c r="H53" s="48">
        <f ca="1">IFERROR(__xludf.DUMMYFUNCTION("""COMPUTED_VALUE"""),153)</f>
        <v>153</v>
      </c>
      <c r="I53" s="48">
        <f ca="1">IFERROR(__xludf.DUMMYFUNCTION("""COMPUTED_VALUE"""),72)</f>
        <v>72</v>
      </c>
      <c r="J53" s="48">
        <f ca="1">IFERROR(__xludf.DUMMYFUNCTION("""COMPUTED_VALUE"""),57)</f>
        <v>57</v>
      </c>
      <c r="K53" s="48">
        <f ca="1">IFERROR(__xludf.DUMMYFUNCTION("""COMPUTED_VALUE"""),61)</f>
        <v>61</v>
      </c>
      <c r="L53" s="48">
        <f ca="1">IFERROR(__xludf.DUMMYFUNCTION("""COMPUTED_VALUE"""),63)</f>
        <v>63</v>
      </c>
      <c r="M53" s="48">
        <f ca="1">IFERROR(__xludf.DUMMYFUNCTION("""COMPUTED_VALUE"""),80)</f>
        <v>80</v>
      </c>
      <c r="N53" s="48">
        <f ca="1">IFERROR(__xludf.DUMMYFUNCTION("""COMPUTED_VALUE"""),88)</f>
        <v>88</v>
      </c>
      <c r="O53" s="48">
        <f ca="1">IFERROR(__xludf.DUMMYFUNCTION("""COMPUTED_VALUE"""),48)</f>
        <v>48</v>
      </c>
      <c r="P53" s="48">
        <f ca="1">IFERROR(__xludf.DUMMYFUNCTION("""COMPUTED_VALUE"""),28)</f>
        <v>28</v>
      </c>
      <c r="Q53" s="48">
        <f ca="1">IFERROR(__xludf.DUMMYFUNCTION("""COMPUTED_VALUE"""),30)</f>
        <v>30</v>
      </c>
      <c r="R53" s="48">
        <f ca="1">IFERROR(__xludf.DUMMYFUNCTION("""COMPUTED_VALUE"""),42)</f>
        <v>42</v>
      </c>
      <c r="S53" s="48">
        <f ca="1">IFERROR(__xludf.DUMMYFUNCTION("""COMPUTED_VALUE"""),837)</f>
        <v>837</v>
      </c>
    </row>
    <row r="54" spans="1:19">
      <c r="A54" s="46" t="str">
        <f ca="1">IFERROR(__xludf.DUMMYFUNCTION("""COMPUTED_VALUE"""),"TOTAL DE LITROS DE DIESEL DESPACHADO")</f>
        <v>TOTAL DE LITROS DE DIESEL DESPACHADO</v>
      </c>
      <c r="B54" s="46">
        <f ca="1">IFERROR(__xludf.DUMMYFUNCTION("""COMPUTED_VALUE"""),267600)</f>
        <v>267600</v>
      </c>
      <c r="C54" s="46" t="str">
        <f ca="1">IFERROR(__xludf.DUMMYFUNCTION("""COMPUTED_VALUE"""),"LITROS DESPACHADOS")</f>
        <v>LITROS DESPACHADOS</v>
      </c>
      <c r="D54" s="46" t="str">
        <f ca="1">IFERROR(__xludf.DUMMYFUNCTION("""COMPUTED_VALUE"""),"ASCENDENTE")</f>
        <v>ASCENDENTE</v>
      </c>
      <c r="E54" s="46" t="str">
        <f ca="1">IFERROR(__xludf.DUMMYFUNCTION("""COMPUTED_VALUE"""),"BITACORA OPERATIVA")</f>
        <v>BITACORA OPERATIVA</v>
      </c>
      <c r="F54" s="47">
        <f ca="1">IFERROR(__xludf.DUMMYFUNCTION("""COMPUTED_VALUE"""),82.3082959641255)</f>
        <v>82.308295964125506</v>
      </c>
      <c r="G54" s="48">
        <f ca="1">IFERROR(__xludf.DUMMYFUNCTION("""COMPUTED_VALUE"""),13522)</f>
        <v>13522</v>
      </c>
      <c r="H54" s="48">
        <f ca="1">IFERROR(__xludf.DUMMYFUNCTION("""COMPUTED_VALUE"""),18030)</f>
        <v>18030</v>
      </c>
      <c r="I54" s="48">
        <f ca="1">IFERROR(__xludf.DUMMYFUNCTION("""COMPUTED_VALUE"""),14409)</f>
        <v>14409</v>
      </c>
      <c r="J54" s="48">
        <f ca="1">IFERROR(__xludf.DUMMYFUNCTION("""COMPUTED_VALUE"""),13271)</f>
        <v>13271</v>
      </c>
      <c r="K54" s="48">
        <f ca="1">IFERROR(__xludf.DUMMYFUNCTION("""COMPUTED_VALUE"""),15834)</f>
        <v>15834</v>
      </c>
      <c r="L54" s="48">
        <f ca="1">IFERROR(__xludf.DUMMYFUNCTION("""COMPUTED_VALUE"""),17889)</f>
        <v>17889</v>
      </c>
      <c r="M54" s="48">
        <f ca="1">IFERROR(__xludf.DUMMYFUNCTION("""COMPUTED_VALUE"""),26432)</f>
        <v>26432</v>
      </c>
      <c r="N54" s="48">
        <f ca="1">IFERROR(__xludf.DUMMYFUNCTION("""COMPUTED_VALUE"""),22638)</f>
        <v>22638</v>
      </c>
      <c r="O54" s="48">
        <f ca="1">IFERROR(__xludf.DUMMYFUNCTION("""COMPUTED_VALUE"""),14819)</f>
        <v>14819</v>
      </c>
      <c r="P54" s="48">
        <f ca="1">IFERROR(__xludf.DUMMYFUNCTION("""COMPUTED_VALUE"""),19715)</f>
        <v>19715</v>
      </c>
      <c r="Q54" s="48">
        <f ca="1">IFERROR(__xludf.DUMMYFUNCTION("""COMPUTED_VALUE"""),20292)</f>
        <v>20292</v>
      </c>
      <c r="R54" s="48">
        <f ca="1">IFERROR(__xludf.DUMMYFUNCTION("""COMPUTED_VALUE"""),23406)</f>
        <v>23406</v>
      </c>
      <c r="S54" s="48">
        <f ca="1">IFERROR(__xludf.DUMMYFUNCTION("""COMPUTED_VALUE"""),220257)</f>
        <v>220257</v>
      </c>
    </row>
    <row r="55" spans="1:19">
      <c r="A55" s="46" t="str">
        <f ca="1">IFERROR(__xludf.DUMMYFUNCTION("""COMPUTED_VALUE"""),"VEHICULOS DE SEGURIDAD PUBLICA")</f>
        <v>VEHICULOS DE SEGURIDAD PUBLICA</v>
      </c>
      <c r="B55" s="46">
        <f ca="1">IFERROR(__xludf.DUMMYFUNCTION("""COMPUTED_VALUE"""),40)</f>
        <v>40</v>
      </c>
      <c r="C55" s="46" t="str">
        <f ca="1">IFERROR(__xludf.DUMMYFUNCTION("""COMPUTED_VALUE"""),"PROMEDIO DE VEHICULOS DE SEGURIDAD PUBLICA")</f>
        <v>PROMEDIO DE VEHICULOS DE SEGURIDAD PUBLICA</v>
      </c>
      <c r="D55" s="46" t="str">
        <f ca="1">IFERROR(__xludf.DUMMYFUNCTION("""COMPUTED_VALUE"""),"ASCENDENTE")</f>
        <v>ASCENDENTE</v>
      </c>
      <c r="E55" s="46" t="str">
        <f ca="1">IFERROR(__xludf.DUMMYFUNCTION("""COMPUTED_VALUE"""),"BITACORA OPERATIVA")</f>
        <v>BITACORA OPERATIVA</v>
      </c>
      <c r="F55" s="47">
        <f ca="1">IFERROR(__xludf.DUMMYFUNCTION("""COMPUTED_VALUE"""),88.3333333333333)</f>
        <v>88.3333333333333</v>
      </c>
      <c r="G55" s="48">
        <f ca="1">IFERROR(__xludf.DUMMYFUNCTION("""COMPUTED_VALUE"""),29)</f>
        <v>29</v>
      </c>
      <c r="H55" s="48">
        <f ca="1">IFERROR(__xludf.DUMMYFUNCTION("""COMPUTED_VALUE"""),29)</f>
        <v>29</v>
      </c>
      <c r="I55" s="48">
        <f ca="1">IFERROR(__xludf.DUMMYFUNCTION("""COMPUTED_VALUE"""),37)</f>
        <v>37</v>
      </c>
      <c r="J55" s="48">
        <f ca="1">IFERROR(__xludf.DUMMYFUNCTION("""COMPUTED_VALUE"""),34)</f>
        <v>34</v>
      </c>
      <c r="K55" s="48">
        <f ca="1">IFERROR(__xludf.DUMMYFUNCTION("""COMPUTED_VALUE"""),34)</f>
        <v>34</v>
      </c>
      <c r="L55" s="48">
        <f ca="1">IFERROR(__xludf.DUMMYFUNCTION("""COMPUTED_VALUE"""),29)</f>
        <v>29</v>
      </c>
      <c r="M55" s="48">
        <f ca="1">IFERROR(__xludf.DUMMYFUNCTION("""COMPUTED_VALUE"""),54)</f>
        <v>54</v>
      </c>
      <c r="N55" s="48">
        <f ca="1">IFERROR(__xludf.DUMMYFUNCTION("""COMPUTED_VALUE"""),58)</f>
        <v>58</v>
      </c>
      <c r="O55" s="48">
        <f ca="1">IFERROR(__xludf.DUMMYFUNCTION("""COMPUTED_VALUE"""),29)</f>
        <v>29</v>
      </c>
      <c r="P55" s="48">
        <f ca="1">IFERROR(__xludf.DUMMYFUNCTION("""COMPUTED_VALUE"""),29)</f>
        <v>29</v>
      </c>
      <c r="Q55" s="48">
        <f ca="1">IFERROR(__xludf.DUMMYFUNCTION("""COMPUTED_VALUE"""),29)</f>
        <v>29</v>
      </c>
      <c r="R55" s="48">
        <f ca="1">IFERROR(__xludf.DUMMYFUNCTION("""COMPUTED_VALUE"""),33)</f>
        <v>33</v>
      </c>
      <c r="S55" s="48">
        <f ca="1">IFERROR(__xludf.DUMMYFUNCTION("""COMPUTED_VALUE"""),35.3333333333333)</f>
        <v>35.3333333333333</v>
      </c>
    </row>
    <row r="56" spans="1:19">
      <c r="A56" s="46" t="str">
        <f ca="1">IFERROR(__xludf.DUMMYFUNCTION("""COMPUTED_VALUE"""),"MOTOCICLETAS DE SEGURIDAD PUBLICA")</f>
        <v>MOTOCICLETAS DE SEGURIDAD PUBLICA</v>
      </c>
      <c r="B56" s="46">
        <f ca="1">IFERROR(__xludf.DUMMYFUNCTION("""COMPUTED_VALUE"""),20)</f>
        <v>20</v>
      </c>
      <c r="C56" s="46" t="str">
        <f ca="1">IFERROR(__xludf.DUMMYFUNCTION("""COMPUTED_VALUE"""),"PROMEDIO DE MOTOCICLETAS DE SEGURIDAD PUBLICA")</f>
        <v>PROMEDIO DE MOTOCICLETAS DE SEGURIDAD PUBLICA</v>
      </c>
      <c r="D56" s="46" t="str">
        <f ca="1">IFERROR(__xludf.DUMMYFUNCTION("""COMPUTED_VALUE"""),"ASCENDENTE")</f>
        <v>ASCENDENTE</v>
      </c>
      <c r="E56" s="46" t="str">
        <f ca="1">IFERROR(__xludf.DUMMYFUNCTION("""COMPUTED_VALUE"""),"BITACORA OPERATIVA")</f>
        <v>BITACORA OPERATIVA</v>
      </c>
      <c r="F56" s="47">
        <f ca="1">IFERROR(__xludf.DUMMYFUNCTION("""COMPUTED_VALUE"""),94.1666666666666)</f>
        <v>94.1666666666666</v>
      </c>
      <c r="G56" s="48">
        <f ca="1">IFERROR(__xludf.DUMMYFUNCTION("""COMPUTED_VALUE"""),14)</f>
        <v>14</v>
      </c>
      <c r="H56" s="48">
        <f ca="1">IFERROR(__xludf.DUMMYFUNCTION("""COMPUTED_VALUE"""),13)</f>
        <v>13</v>
      </c>
      <c r="I56" s="48">
        <f ca="1">IFERROR(__xludf.DUMMYFUNCTION("""COMPUTED_VALUE"""),19)</f>
        <v>19</v>
      </c>
      <c r="J56" s="48">
        <f ca="1">IFERROR(__xludf.DUMMYFUNCTION("""COMPUTED_VALUE"""),16)</f>
        <v>16</v>
      </c>
      <c r="K56" s="48">
        <f ca="1">IFERROR(__xludf.DUMMYFUNCTION("""COMPUTED_VALUE"""),16)</f>
        <v>16</v>
      </c>
      <c r="L56" s="48">
        <f ca="1">IFERROR(__xludf.DUMMYFUNCTION("""COMPUTED_VALUE"""),12)</f>
        <v>12</v>
      </c>
      <c r="M56" s="48">
        <f ca="1">IFERROR(__xludf.DUMMYFUNCTION("""COMPUTED_VALUE"""),34)</f>
        <v>34</v>
      </c>
      <c r="N56" s="48">
        <f ca="1">IFERROR(__xludf.DUMMYFUNCTION("""COMPUTED_VALUE"""),38)</f>
        <v>38</v>
      </c>
      <c r="O56" s="48">
        <f ca="1">IFERROR(__xludf.DUMMYFUNCTION("""COMPUTED_VALUE"""),19)</f>
        <v>19</v>
      </c>
      <c r="P56" s="48">
        <f ca="1">IFERROR(__xludf.DUMMYFUNCTION("""COMPUTED_VALUE"""),15)</f>
        <v>15</v>
      </c>
      <c r="Q56" s="48">
        <f ca="1">IFERROR(__xludf.DUMMYFUNCTION("""COMPUTED_VALUE"""),15)</f>
        <v>15</v>
      </c>
      <c r="R56" s="48">
        <f ca="1">IFERROR(__xludf.DUMMYFUNCTION("""COMPUTED_VALUE"""),15)</f>
        <v>15</v>
      </c>
      <c r="S56" s="48">
        <f ca="1">IFERROR(__xludf.DUMMYFUNCTION("""COMPUTED_VALUE"""),18.8333333333333)</f>
        <v>18.8333333333333</v>
      </c>
    </row>
    <row r="57" spans="1:19">
      <c r="A57" s="46" t="str">
        <f ca="1">IFERROR(__xludf.DUMMYFUNCTION("""COMPUTED_VALUE"""),"CONSULTAS MÉDICAS DOMICILIARIAS")</f>
        <v>CONSULTAS MÉDICAS DOMICILIARIAS</v>
      </c>
      <c r="B57" s="46">
        <f ca="1">IFERROR(__xludf.DUMMYFUNCTION("""COMPUTED_VALUE"""),36)</f>
        <v>36</v>
      </c>
      <c r="C57" s="46" t="str">
        <f ca="1">IFERROR(__xludf.DUMMYFUNCTION("""COMPUTED_VALUE"""),"CONSULTAS MEDICAS DOMICILIARIAS REALIZADAS ")</f>
        <v xml:space="preserve">CONSULTAS MEDICAS DOMICILIARIAS REALIZADAS </v>
      </c>
      <c r="D57" s="46" t="str">
        <f ca="1">IFERROR(__xludf.DUMMYFUNCTION("""COMPUTED_VALUE"""),"ASCENDENTE")</f>
        <v>ASCENDENTE</v>
      </c>
      <c r="E57" s="46" t="str">
        <f ca="1">IFERROR(__xludf.DUMMYFUNCTION("""COMPUTED_VALUE"""),"BITACORA OPERATIVA")</f>
        <v>BITACORA OPERATIVA</v>
      </c>
      <c r="F57" s="47">
        <f ca="1">IFERROR(__xludf.DUMMYFUNCTION("""COMPUTED_VALUE"""),166.666666666666)</f>
        <v>166.666666666666</v>
      </c>
      <c r="G57" s="48">
        <f ca="1">IFERROR(__xludf.DUMMYFUNCTION("""COMPUTED_VALUE"""),10)</f>
        <v>10</v>
      </c>
      <c r="H57" s="48">
        <f ca="1">IFERROR(__xludf.DUMMYFUNCTION("""COMPUTED_VALUE"""),5)</f>
        <v>5</v>
      </c>
      <c r="I57" s="48">
        <f ca="1">IFERROR(__xludf.DUMMYFUNCTION("""COMPUTED_VALUE"""),5)</f>
        <v>5</v>
      </c>
      <c r="J57" s="48">
        <f ca="1">IFERROR(__xludf.DUMMYFUNCTION("""COMPUTED_VALUE"""),5)</f>
        <v>5</v>
      </c>
      <c r="K57" s="48">
        <f ca="1">IFERROR(__xludf.DUMMYFUNCTION("""COMPUTED_VALUE"""),6)</f>
        <v>6</v>
      </c>
      <c r="L57" s="48">
        <f ca="1">IFERROR(__xludf.DUMMYFUNCTION("""COMPUTED_VALUE"""),5)</f>
        <v>5</v>
      </c>
      <c r="M57" s="48">
        <f ca="1">IFERROR(__xludf.DUMMYFUNCTION("""COMPUTED_VALUE"""),2)</f>
        <v>2</v>
      </c>
      <c r="N57" s="48">
        <f ca="1">IFERROR(__xludf.DUMMYFUNCTION("""COMPUTED_VALUE"""),2)</f>
        <v>2</v>
      </c>
      <c r="O57" s="48">
        <f ca="1">IFERROR(__xludf.DUMMYFUNCTION("""COMPUTED_VALUE"""),3)</f>
        <v>3</v>
      </c>
      <c r="P57" s="48">
        <f ca="1">IFERROR(__xludf.DUMMYFUNCTION("""COMPUTED_VALUE"""),5)</f>
        <v>5</v>
      </c>
      <c r="Q57" s="48">
        <f ca="1">IFERROR(__xludf.DUMMYFUNCTION("""COMPUTED_VALUE"""),5)</f>
        <v>5</v>
      </c>
      <c r="R57" s="48">
        <f ca="1">IFERROR(__xludf.DUMMYFUNCTION("""COMPUTED_VALUE"""),7)</f>
        <v>7</v>
      </c>
      <c r="S57" s="48">
        <f ca="1">IFERROR(__xludf.DUMMYFUNCTION("""COMPUTED_VALUE"""),60)</f>
        <v>60</v>
      </c>
    </row>
    <row r="58" spans="1:19">
      <c r="A58" s="46" t="str">
        <f ca="1">IFERROR(__xludf.DUMMYFUNCTION("""COMPUTED_VALUE"""),"TOTAL DE TRASLADOS")</f>
        <v>TOTAL DE TRASLADOS</v>
      </c>
      <c r="B58" s="46">
        <f ca="1">IFERROR(__xludf.DUMMYFUNCTION("""COMPUTED_VALUE"""),180)</f>
        <v>180</v>
      </c>
      <c r="C58" s="46" t="str">
        <f ca="1">IFERROR(__xludf.DUMMYFUNCTION("""COMPUTED_VALUE"""),"TRASLADOS REALIZADOS")</f>
        <v>TRASLADOS REALIZADOS</v>
      </c>
      <c r="D58" s="46" t="str">
        <f ca="1">IFERROR(__xludf.DUMMYFUNCTION("""COMPUTED_VALUE"""),"ASCENDENTE")</f>
        <v>ASCENDENTE</v>
      </c>
      <c r="E58" s="46" t="str">
        <f ca="1">IFERROR(__xludf.DUMMYFUNCTION("""COMPUTED_VALUE"""),"BITACORA OPERATIVA")</f>
        <v>BITACORA OPERATIVA</v>
      </c>
      <c r="F58" s="47">
        <f ca="1">IFERROR(__xludf.DUMMYFUNCTION("""COMPUTED_VALUE"""),145)</f>
        <v>145</v>
      </c>
      <c r="G58" s="48">
        <f ca="1">IFERROR(__xludf.DUMMYFUNCTION("""COMPUTED_VALUE"""),15)</f>
        <v>15</v>
      </c>
      <c r="H58" s="48">
        <f ca="1">IFERROR(__xludf.DUMMYFUNCTION("""COMPUTED_VALUE"""),28)</f>
        <v>28</v>
      </c>
      <c r="I58" s="48">
        <f ca="1">IFERROR(__xludf.DUMMYFUNCTION("""COMPUTED_VALUE"""),22)</f>
        <v>22</v>
      </c>
      <c r="J58" s="48">
        <f ca="1">IFERROR(__xludf.DUMMYFUNCTION("""COMPUTED_VALUE"""),15)</f>
        <v>15</v>
      </c>
      <c r="K58" s="48">
        <f ca="1">IFERROR(__xludf.DUMMYFUNCTION("""COMPUTED_VALUE"""),16)</f>
        <v>16</v>
      </c>
      <c r="L58" s="48">
        <f ca="1">IFERROR(__xludf.DUMMYFUNCTION("""COMPUTED_VALUE"""),18)</f>
        <v>18</v>
      </c>
      <c r="M58" s="48">
        <f ca="1">IFERROR(__xludf.DUMMYFUNCTION("""COMPUTED_VALUE"""),18)</f>
        <v>18</v>
      </c>
      <c r="N58" s="48">
        <f ca="1">IFERROR(__xludf.DUMMYFUNCTION("""COMPUTED_VALUE"""),27)</f>
        <v>27</v>
      </c>
      <c r="O58" s="48">
        <f ca="1">IFERROR(__xludf.DUMMYFUNCTION("""COMPUTED_VALUE"""),36)</f>
        <v>36</v>
      </c>
      <c r="P58" s="48">
        <f ca="1">IFERROR(__xludf.DUMMYFUNCTION("""COMPUTED_VALUE"""),20)</f>
        <v>20</v>
      </c>
      <c r="Q58" s="48">
        <f ca="1">IFERROR(__xludf.DUMMYFUNCTION("""COMPUTED_VALUE"""),22)</f>
        <v>22</v>
      </c>
      <c r="R58" s="48">
        <f ca="1">IFERROR(__xludf.DUMMYFUNCTION("""COMPUTED_VALUE"""),24)</f>
        <v>24</v>
      </c>
      <c r="S58" s="48">
        <f ca="1">IFERROR(__xludf.DUMMYFUNCTION("""COMPUTED_VALUE"""),261)</f>
        <v>261</v>
      </c>
    </row>
    <row r="59" spans="1:19">
      <c r="A59" s="46" t="str">
        <f ca="1">IFERROR(__xludf.DUMMYFUNCTION("""COMPUTED_VALUE"""),"CAMPAÑAS DE PREVENCIÓN EN SALUD PÚBLICA ")</f>
        <v xml:space="preserve">CAMPAÑAS DE PREVENCIÓN EN SALUD PÚBLICA </v>
      </c>
      <c r="B59" s="46">
        <f ca="1">IFERROR(__xludf.DUMMYFUNCTION("""COMPUTED_VALUE"""),27)</f>
        <v>27</v>
      </c>
      <c r="C59" s="46" t="str">
        <f ca="1">IFERROR(__xludf.DUMMYFUNCTION("""COMPUTED_VALUE"""),"CAMPAÑAS DE PREVENCION PUBLICA REALIZADAS")</f>
        <v>CAMPAÑAS DE PREVENCION PUBLICA REALIZADAS</v>
      </c>
      <c r="D59" s="46" t="str">
        <f ca="1">IFERROR(__xludf.DUMMYFUNCTION("""COMPUTED_VALUE"""),"ASCENDENTE")</f>
        <v>ASCENDENTE</v>
      </c>
      <c r="E59" s="46" t="str">
        <f ca="1">IFERROR(__xludf.DUMMYFUNCTION("""COMPUTED_VALUE"""),"BITACORA OPERATIVA")</f>
        <v>BITACORA OPERATIVA</v>
      </c>
      <c r="F59" s="47">
        <f ca="1">IFERROR(__xludf.DUMMYFUNCTION("""COMPUTED_VALUE"""),859.259259259259)</f>
        <v>859.25925925925901</v>
      </c>
      <c r="G59" s="48">
        <f ca="1">IFERROR(__xludf.DUMMYFUNCTION("""COMPUTED_VALUE"""),1)</f>
        <v>1</v>
      </c>
      <c r="H59" s="48">
        <f ca="1">IFERROR(__xludf.DUMMYFUNCTION("""COMPUTED_VALUE"""),0)</f>
        <v>0</v>
      </c>
      <c r="I59" s="48">
        <f ca="1">IFERROR(__xludf.DUMMYFUNCTION("""COMPUTED_VALUE"""),0)</f>
        <v>0</v>
      </c>
      <c r="J59" s="48">
        <f ca="1">IFERROR(__xludf.DUMMYFUNCTION("""COMPUTED_VALUE"""),3)</f>
        <v>3</v>
      </c>
      <c r="K59" s="48">
        <f ca="1">IFERROR(__xludf.DUMMYFUNCTION("""COMPUTED_VALUE"""),4)</f>
        <v>4</v>
      </c>
      <c r="L59" s="48">
        <f ca="1">IFERROR(__xludf.DUMMYFUNCTION("""COMPUTED_VALUE"""),4)</f>
        <v>4</v>
      </c>
      <c r="M59" s="48">
        <f ca="1">IFERROR(__xludf.DUMMYFUNCTION("""COMPUTED_VALUE"""),5)</f>
        <v>5</v>
      </c>
      <c r="N59" s="48">
        <f ca="1">IFERROR(__xludf.DUMMYFUNCTION("""COMPUTED_VALUE"""),3)</f>
        <v>3</v>
      </c>
      <c r="O59" s="48">
        <f ca="1">IFERROR(__xludf.DUMMYFUNCTION("""COMPUTED_VALUE"""),2)</f>
        <v>2</v>
      </c>
      <c r="P59" s="48">
        <f ca="1">IFERROR(__xludf.DUMMYFUNCTION("""COMPUTED_VALUE"""),70)</f>
        <v>70</v>
      </c>
      <c r="Q59" s="48">
        <f ca="1">IFERROR(__xludf.DUMMYFUNCTION("""COMPUTED_VALUE"""),70)</f>
        <v>70</v>
      </c>
      <c r="R59" s="48">
        <f ca="1">IFERROR(__xludf.DUMMYFUNCTION("""COMPUTED_VALUE"""),70)</f>
        <v>70</v>
      </c>
      <c r="S59" s="48">
        <f ca="1">IFERROR(__xludf.DUMMYFUNCTION("""COMPUTED_VALUE"""),232)</f>
        <v>232</v>
      </c>
    </row>
    <row r="60" spans="1:19">
      <c r="A60" s="46" t="str">
        <f ca="1">IFERROR(__xludf.DUMMYFUNCTION("""COMPUTED_VALUE"""),"CAMPAÑAS DE VACUNACIÓN ")</f>
        <v xml:space="preserve">CAMPAÑAS DE VACUNACIÓN </v>
      </c>
      <c r="B60" s="46">
        <f ca="1">IFERROR(__xludf.DUMMYFUNCTION("""COMPUTED_VALUE"""),3)</f>
        <v>3</v>
      </c>
      <c r="C60" s="46" t="str">
        <f ca="1">IFERROR(__xludf.DUMMYFUNCTION("""COMPUTED_VALUE"""),"CAMPAÑAS DE VACUNACION REALIZADAS")</f>
        <v>CAMPAÑAS DE VACUNACION REALIZADAS</v>
      </c>
      <c r="D60" s="46" t="str">
        <f ca="1">IFERROR(__xludf.DUMMYFUNCTION("""COMPUTED_VALUE"""),"ASCENDENTE")</f>
        <v>ASCENDENTE</v>
      </c>
      <c r="E60" s="46" t="str">
        <f ca="1">IFERROR(__xludf.DUMMYFUNCTION("""COMPUTED_VALUE"""),"BITACORA OPERATIVA")</f>
        <v>BITACORA OPERATIVA</v>
      </c>
      <c r="F60" s="47">
        <f ca="1">IFERROR(__xludf.DUMMYFUNCTION("""COMPUTED_VALUE"""),66.6666666666666)</f>
        <v>66.6666666666666</v>
      </c>
      <c r="G60" s="48">
        <f ca="1">IFERROR(__xludf.DUMMYFUNCTION("""COMPUTED_VALUE"""),0)</f>
        <v>0</v>
      </c>
      <c r="H60" s="48">
        <f ca="1">IFERROR(__xludf.DUMMYFUNCTION("""COMPUTED_VALUE"""),0)</f>
        <v>0</v>
      </c>
      <c r="I60" s="48">
        <f ca="1">IFERROR(__xludf.DUMMYFUNCTION("""COMPUTED_VALUE"""),0)</f>
        <v>0</v>
      </c>
      <c r="J60" s="48">
        <f ca="1">IFERROR(__xludf.DUMMYFUNCTION("""COMPUTED_VALUE"""),2)</f>
        <v>2</v>
      </c>
      <c r="K60" s="48">
        <f ca="1">IFERROR(__xludf.DUMMYFUNCTION("""COMPUTED_VALUE"""),0)</f>
        <v>0</v>
      </c>
      <c r="L60" s="48">
        <f ca="1">IFERROR(__xludf.DUMMYFUNCTION("""COMPUTED_VALUE"""),0)</f>
        <v>0</v>
      </c>
      <c r="M60" s="48">
        <f ca="1">IFERROR(__xludf.DUMMYFUNCTION("""COMPUTED_VALUE"""),0)</f>
        <v>0</v>
      </c>
      <c r="N60" s="48">
        <f ca="1">IFERROR(__xludf.DUMMYFUNCTION("""COMPUTED_VALUE"""),0)</f>
        <v>0</v>
      </c>
      <c r="O60" s="48">
        <f ca="1">IFERROR(__xludf.DUMMYFUNCTION("""COMPUTED_VALUE"""),0)</f>
        <v>0</v>
      </c>
      <c r="P60" s="48">
        <f ca="1">IFERROR(__xludf.DUMMYFUNCTION("""COMPUTED_VALUE"""),0)</f>
        <v>0</v>
      </c>
      <c r="Q60" s="48">
        <f ca="1">IFERROR(__xludf.DUMMYFUNCTION("""COMPUTED_VALUE"""),0)</f>
        <v>0</v>
      </c>
      <c r="R60" s="48">
        <f ca="1">IFERROR(__xludf.DUMMYFUNCTION("""COMPUTED_VALUE"""),0)</f>
        <v>0</v>
      </c>
      <c r="S60" s="48">
        <f ca="1">IFERROR(__xludf.DUMMYFUNCTION("""COMPUTED_VALUE"""),2)</f>
        <v>2</v>
      </c>
    </row>
    <row r="61" spans="1:19">
      <c r="A61" s="46" t="str">
        <f ca="1">IFERROR(__xludf.DUMMYFUNCTION("""COMPUTED_VALUE"""),"PERSONAS VACUNADAS ")</f>
        <v xml:space="preserve">PERSONAS VACUNADAS </v>
      </c>
      <c r="B61" s="46">
        <f ca="1">IFERROR(__xludf.DUMMYFUNCTION("""COMPUTED_VALUE"""),100)</f>
        <v>100</v>
      </c>
      <c r="C61" s="46" t="str">
        <f ca="1">IFERROR(__xludf.DUMMYFUNCTION("""COMPUTED_VALUE"""),"PERSONAS VACUNADAS")</f>
        <v>PERSONAS VACUNADAS</v>
      </c>
      <c r="D61" s="46" t="str">
        <f ca="1">IFERROR(__xludf.DUMMYFUNCTION("""COMPUTED_VALUE"""),"ASCENDENTE")</f>
        <v>ASCENDENTE</v>
      </c>
      <c r="E61" s="46" t="str">
        <f ca="1">IFERROR(__xludf.DUMMYFUNCTION("""COMPUTED_VALUE"""),"BITACORA OPERATIVA")</f>
        <v>BITACORA OPERATIVA</v>
      </c>
      <c r="F61" s="47">
        <f ca="1">IFERROR(__xludf.DUMMYFUNCTION("""COMPUTED_VALUE"""),30)</f>
        <v>30</v>
      </c>
      <c r="G61" s="48">
        <f ca="1">IFERROR(__xludf.DUMMYFUNCTION("""COMPUTED_VALUE"""),0)</f>
        <v>0</v>
      </c>
      <c r="H61" s="48">
        <f ca="1">IFERROR(__xludf.DUMMYFUNCTION("""COMPUTED_VALUE"""),0)</f>
        <v>0</v>
      </c>
      <c r="I61" s="48">
        <f ca="1">IFERROR(__xludf.DUMMYFUNCTION("""COMPUTED_VALUE"""),0)</f>
        <v>0</v>
      </c>
      <c r="J61" s="48">
        <f ca="1">IFERROR(__xludf.DUMMYFUNCTION("""COMPUTED_VALUE"""),30)</f>
        <v>30</v>
      </c>
      <c r="K61" s="48">
        <f ca="1">IFERROR(__xludf.DUMMYFUNCTION("""COMPUTED_VALUE"""),0)</f>
        <v>0</v>
      </c>
      <c r="L61" s="48">
        <f ca="1">IFERROR(__xludf.DUMMYFUNCTION("""COMPUTED_VALUE"""),0)</f>
        <v>0</v>
      </c>
      <c r="M61" s="48">
        <f ca="1">IFERROR(__xludf.DUMMYFUNCTION("""COMPUTED_VALUE"""),0)</f>
        <v>0</v>
      </c>
      <c r="N61" s="48">
        <f ca="1">IFERROR(__xludf.DUMMYFUNCTION("""COMPUTED_VALUE"""),0)</f>
        <v>0</v>
      </c>
      <c r="O61" s="48">
        <f ca="1">IFERROR(__xludf.DUMMYFUNCTION("""COMPUTED_VALUE"""),0)</f>
        <v>0</v>
      </c>
      <c r="P61" s="48">
        <f ca="1">IFERROR(__xludf.DUMMYFUNCTION("""COMPUTED_VALUE"""),0)</f>
        <v>0</v>
      </c>
      <c r="Q61" s="48">
        <f ca="1">IFERROR(__xludf.DUMMYFUNCTION("""COMPUTED_VALUE"""),0)</f>
        <v>0</v>
      </c>
      <c r="R61" s="48">
        <f ca="1">IFERROR(__xludf.DUMMYFUNCTION("""COMPUTED_VALUE"""),0)</f>
        <v>0</v>
      </c>
      <c r="S61" s="48">
        <f ca="1">IFERROR(__xludf.DUMMYFUNCTION("""COMPUTED_VALUE"""),30)</f>
        <v>30</v>
      </c>
    </row>
    <row r="62" spans="1:19">
      <c r="A62" s="46" t="str">
        <f ca="1">IFERROR(__xludf.DUMMYFUNCTION("""COMPUTED_VALUE"""),"ATENCIONES DE LABORATORIO DE ANÁLISIS CLÍNICOS ")</f>
        <v xml:space="preserve">ATENCIONES DE LABORATORIO DE ANÁLISIS CLÍNICOS </v>
      </c>
      <c r="B62" s="46">
        <f ca="1">IFERROR(__xludf.DUMMYFUNCTION("""COMPUTED_VALUE"""),1620)</f>
        <v>1620</v>
      </c>
      <c r="C62" s="46" t="str">
        <f ca="1">IFERROR(__xludf.DUMMYFUNCTION("""COMPUTED_VALUE"""),"ANALISIS CLINICOS REALIZADOS (DERIVADOS)")</f>
        <v>ANALISIS CLINICOS REALIZADOS (DERIVADOS)</v>
      </c>
      <c r="D62" s="46" t="str">
        <f ca="1">IFERROR(__xludf.DUMMYFUNCTION("""COMPUTED_VALUE"""),"ASCENDENTE")</f>
        <v>ASCENDENTE</v>
      </c>
      <c r="E62" s="46" t="str">
        <f ca="1">IFERROR(__xludf.DUMMYFUNCTION("""COMPUTED_VALUE"""),"BITACORA OPERATIVA")</f>
        <v>BITACORA OPERATIVA</v>
      </c>
      <c r="F62" s="47">
        <f ca="1">IFERROR(__xludf.DUMMYFUNCTION("""COMPUTED_VALUE"""),367.345679012345)</f>
        <v>367.34567901234499</v>
      </c>
      <c r="G62" s="48">
        <f ca="1">IFERROR(__xludf.DUMMYFUNCTION("""COMPUTED_VALUE"""),1550)</f>
        <v>1550</v>
      </c>
      <c r="H62" s="48">
        <f ca="1">IFERROR(__xludf.DUMMYFUNCTION("""COMPUTED_VALUE"""),1450)</f>
        <v>1450</v>
      </c>
      <c r="I62" s="48">
        <f ca="1">IFERROR(__xludf.DUMMYFUNCTION("""COMPUTED_VALUE"""),1650)</f>
        <v>1650</v>
      </c>
      <c r="J62" s="48">
        <f ca="1">IFERROR(__xludf.DUMMYFUNCTION("""COMPUTED_VALUE"""),130)</f>
        <v>130</v>
      </c>
      <c r="K62" s="48">
        <f ca="1">IFERROR(__xludf.DUMMYFUNCTION("""COMPUTED_VALUE"""),140)</f>
        <v>140</v>
      </c>
      <c r="L62" s="48">
        <f ca="1">IFERROR(__xludf.DUMMYFUNCTION("""COMPUTED_VALUE"""),140)</f>
        <v>140</v>
      </c>
      <c r="M62" s="48">
        <f ca="1">IFERROR(__xludf.DUMMYFUNCTION("""COMPUTED_VALUE"""),144)</f>
        <v>144</v>
      </c>
      <c r="N62" s="48">
        <f ca="1">IFERROR(__xludf.DUMMYFUNCTION("""COMPUTED_VALUE"""),138)</f>
        <v>138</v>
      </c>
      <c r="O62" s="48">
        <f ca="1">IFERROR(__xludf.DUMMYFUNCTION("""COMPUTED_VALUE"""),134)</f>
        <v>134</v>
      </c>
      <c r="P62" s="48">
        <f ca="1">IFERROR(__xludf.DUMMYFUNCTION("""COMPUTED_VALUE"""),160)</f>
        <v>160</v>
      </c>
      <c r="Q62" s="48">
        <f ca="1">IFERROR(__xludf.DUMMYFUNCTION("""COMPUTED_VALUE"""),145)</f>
        <v>145</v>
      </c>
      <c r="R62" s="48">
        <f ca="1">IFERROR(__xludf.DUMMYFUNCTION("""COMPUTED_VALUE"""),170)</f>
        <v>170</v>
      </c>
      <c r="S62" s="48">
        <f ca="1">IFERROR(__xludf.DUMMYFUNCTION("""COMPUTED_VALUE"""),5951)</f>
        <v>5951</v>
      </c>
    </row>
    <row r="63" spans="1:19">
      <c r="A63" s="46" t="str">
        <f ca="1">IFERROR(__xludf.DUMMYFUNCTION("""COMPUTED_VALUE"""),"APOYO DE AMBULANCIA EN EVENTOS PUBLICOS ")</f>
        <v xml:space="preserve">APOYO DE AMBULANCIA EN EVENTOS PUBLICOS </v>
      </c>
      <c r="B63" s="46">
        <f ca="1">IFERROR(__xludf.DUMMYFUNCTION("""COMPUTED_VALUE"""),84)</f>
        <v>84</v>
      </c>
      <c r="C63" s="46" t="str">
        <f ca="1">IFERROR(__xludf.DUMMYFUNCTION("""COMPUTED_VALUE"""),"APOYOS")</f>
        <v>APOYOS</v>
      </c>
      <c r="D63" s="46" t="str">
        <f ca="1">IFERROR(__xludf.DUMMYFUNCTION("""COMPUTED_VALUE"""),"ASCENDENTE")</f>
        <v>ASCENDENTE</v>
      </c>
      <c r="E63" s="46" t="str">
        <f ca="1">IFERROR(__xludf.DUMMYFUNCTION("""COMPUTED_VALUE"""),"BITACORA OPERATIVA")</f>
        <v>BITACORA OPERATIVA</v>
      </c>
      <c r="F63" s="47">
        <f ca="1">IFERROR(__xludf.DUMMYFUNCTION("""COMPUTED_VALUE"""),169.047619047619)</f>
        <v>169.04761904761901</v>
      </c>
      <c r="G63" s="48">
        <f ca="1">IFERROR(__xludf.DUMMYFUNCTION("""COMPUTED_VALUE"""),16)</f>
        <v>16</v>
      </c>
      <c r="H63" s="48">
        <f ca="1">IFERROR(__xludf.DUMMYFUNCTION("""COMPUTED_VALUE"""),25)</f>
        <v>25</v>
      </c>
      <c r="I63" s="48">
        <f ca="1">IFERROR(__xludf.DUMMYFUNCTION("""COMPUTED_VALUE"""),15)</f>
        <v>15</v>
      </c>
      <c r="J63" s="48">
        <f ca="1">IFERROR(__xludf.DUMMYFUNCTION("""COMPUTED_VALUE"""),8)</f>
        <v>8</v>
      </c>
      <c r="K63" s="48">
        <f ca="1">IFERROR(__xludf.DUMMYFUNCTION("""COMPUTED_VALUE"""),10)</f>
        <v>10</v>
      </c>
      <c r="L63" s="48">
        <f ca="1">IFERROR(__xludf.DUMMYFUNCTION("""COMPUTED_VALUE"""),10)</f>
        <v>10</v>
      </c>
      <c r="M63" s="48">
        <f ca="1">IFERROR(__xludf.DUMMYFUNCTION("""COMPUTED_VALUE"""),8)</f>
        <v>8</v>
      </c>
      <c r="N63" s="48">
        <f ca="1">IFERROR(__xludf.DUMMYFUNCTION("""COMPUTED_VALUE"""),7)</f>
        <v>7</v>
      </c>
      <c r="O63" s="48">
        <f ca="1">IFERROR(__xludf.DUMMYFUNCTION("""COMPUTED_VALUE"""),6)</f>
        <v>6</v>
      </c>
      <c r="P63" s="48">
        <f ca="1">IFERROR(__xludf.DUMMYFUNCTION("""COMPUTED_VALUE"""),11)</f>
        <v>11</v>
      </c>
      <c r="Q63" s="48">
        <f ca="1">IFERROR(__xludf.DUMMYFUNCTION("""COMPUTED_VALUE"""),10)</f>
        <v>10</v>
      </c>
      <c r="R63" s="48">
        <f ca="1">IFERROR(__xludf.DUMMYFUNCTION("""COMPUTED_VALUE"""),16)</f>
        <v>16</v>
      </c>
      <c r="S63" s="48">
        <f ca="1">IFERROR(__xludf.DUMMYFUNCTION("""COMPUTED_VALUE"""),142)</f>
        <v>142</v>
      </c>
    </row>
    <row r="64" spans="1:19">
      <c r="A64" s="46" t="str">
        <f ca="1">IFERROR(__xludf.DUMMYFUNCTION("""COMPUTED_VALUE"""),"NÚMERO DE EVALUACIONES ")</f>
        <v xml:space="preserve">NÚMERO DE EVALUACIONES </v>
      </c>
      <c r="B64" s="46">
        <f ca="1">IFERROR(__xludf.DUMMYFUNCTION("""COMPUTED_VALUE"""),14300)</f>
        <v>14300</v>
      </c>
      <c r="C64" s="46" t="str">
        <f ca="1">IFERROR(__xludf.DUMMYFUNCTION("""COMPUTED_VALUE"""),"EVALUACIONES REALIZADAS")</f>
        <v>EVALUACIONES REALIZADAS</v>
      </c>
      <c r="D64" s="46" t="str">
        <f ca="1">IFERROR(__xludf.DUMMYFUNCTION("""COMPUTED_VALUE"""),"ASCENDENTE")</f>
        <v>ASCENDENTE</v>
      </c>
      <c r="E64" s="46" t="str">
        <f ca="1">IFERROR(__xludf.DUMMYFUNCTION("""COMPUTED_VALUE"""),"BITACORA OPERATIVA")</f>
        <v>BITACORA OPERATIVA</v>
      </c>
      <c r="F64" s="47">
        <f ca="1">IFERROR(__xludf.DUMMYFUNCTION("""COMPUTED_VALUE"""),85.8881118881118)</f>
        <v>85.888111888111794</v>
      </c>
      <c r="G64" s="48">
        <f ca="1">IFERROR(__xludf.DUMMYFUNCTION("""COMPUTED_VALUE"""),0)</f>
        <v>0</v>
      </c>
      <c r="H64" s="48">
        <f ca="1">IFERROR(__xludf.DUMMYFUNCTION("""COMPUTED_VALUE"""),0)</f>
        <v>0</v>
      </c>
      <c r="I64" s="48">
        <f ca="1">IFERROR(__xludf.DUMMYFUNCTION("""COMPUTED_VALUE"""),0)</f>
        <v>0</v>
      </c>
      <c r="J64" s="48">
        <f ca="1">IFERROR(__xludf.DUMMYFUNCTION("""COMPUTED_VALUE"""),980)</f>
        <v>980</v>
      </c>
      <c r="K64" s="48">
        <f ca="1">IFERROR(__xludf.DUMMYFUNCTION("""COMPUTED_VALUE"""),1340)</f>
        <v>1340</v>
      </c>
      <c r="L64" s="48">
        <f ca="1">IFERROR(__xludf.DUMMYFUNCTION("""COMPUTED_VALUE"""),1282)</f>
        <v>1282</v>
      </c>
      <c r="M64" s="48">
        <f ca="1">IFERROR(__xludf.DUMMYFUNCTION("""COMPUTED_VALUE"""),1962)</f>
        <v>1962</v>
      </c>
      <c r="N64" s="48">
        <f ca="1">IFERROR(__xludf.DUMMYFUNCTION("""COMPUTED_VALUE"""),1543)</f>
        <v>1543</v>
      </c>
      <c r="O64" s="48">
        <f ca="1">IFERROR(__xludf.DUMMYFUNCTION("""COMPUTED_VALUE"""),1225)</f>
        <v>1225</v>
      </c>
      <c r="P64" s="48">
        <f ca="1">IFERROR(__xludf.DUMMYFUNCTION("""COMPUTED_VALUE"""),1200)</f>
        <v>1200</v>
      </c>
      <c r="Q64" s="48">
        <f ca="1">IFERROR(__xludf.DUMMYFUNCTION("""COMPUTED_VALUE"""),1300)</f>
        <v>1300</v>
      </c>
      <c r="R64" s="48">
        <f ca="1">IFERROR(__xludf.DUMMYFUNCTION("""COMPUTED_VALUE"""),1450)</f>
        <v>1450</v>
      </c>
      <c r="S64" s="48">
        <f ca="1">IFERROR(__xludf.DUMMYFUNCTION("""COMPUTED_VALUE"""),12282)</f>
        <v>12282</v>
      </c>
    </row>
    <row r="65" spans="1:19">
      <c r="A65" s="46" t="str">
        <f ca="1">IFERROR(__xludf.DUMMYFUNCTION("""COMPUTED_VALUE"""),"TOTAL DE EXÁMENES MÉDICOS ")</f>
        <v xml:space="preserve">TOTAL DE EXÁMENES MÉDICOS </v>
      </c>
      <c r="B65" s="46">
        <f ca="1">IFERROR(__xludf.DUMMYFUNCTION("""COMPUTED_VALUE"""),1140)</f>
        <v>1140</v>
      </c>
      <c r="C65" s="46" t="str">
        <f ca="1">IFERROR(__xludf.DUMMYFUNCTION("""COMPUTED_VALUE"""),"EXAMENES MEDICOS REALIZADOS")</f>
        <v>EXAMENES MEDICOS REALIZADOS</v>
      </c>
      <c r="D65" s="46" t="str">
        <f ca="1">IFERROR(__xludf.DUMMYFUNCTION("""COMPUTED_VALUE"""),"ASCENDENTE")</f>
        <v>ASCENDENTE</v>
      </c>
      <c r="E65" s="46" t="str">
        <f ca="1">IFERROR(__xludf.DUMMYFUNCTION("""COMPUTED_VALUE"""),"BITACORA OPERATIVA")</f>
        <v>BITACORA OPERATIVA</v>
      </c>
      <c r="F65" s="47">
        <f ca="1">IFERROR(__xludf.DUMMYFUNCTION("""COMPUTED_VALUE"""),522.456140350877)</f>
        <v>522.45614035087704</v>
      </c>
      <c r="G65" s="48">
        <f ca="1">IFERROR(__xludf.DUMMYFUNCTION("""COMPUTED_VALUE"""),1500)</f>
        <v>1500</v>
      </c>
      <c r="H65" s="48">
        <f ca="1">IFERROR(__xludf.DUMMYFUNCTION("""COMPUTED_VALUE"""),1750)</f>
        <v>1750</v>
      </c>
      <c r="I65" s="48">
        <f ca="1">IFERROR(__xludf.DUMMYFUNCTION("""COMPUTED_VALUE"""),1800)</f>
        <v>1800</v>
      </c>
      <c r="J65" s="48">
        <f ca="1">IFERROR(__xludf.DUMMYFUNCTION("""COMPUTED_VALUE"""),80)</f>
        <v>80</v>
      </c>
      <c r="K65" s="48">
        <f ca="1">IFERROR(__xludf.DUMMYFUNCTION("""COMPUTED_VALUE"""),70)</f>
        <v>70</v>
      </c>
      <c r="L65" s="48">
        <f ca="1">IFERROR(__xludf.DUMMYFUNCTION("""COMPUTED_VALUE"""),80)</f>
        <v>80</v>
      </c>
      <c r="M65" s="48">
        <f ca="1">IFERROR(__xludf.DUMMYFUNCTION("""COMPUTED_VALUE"""),124)</f>
        <v>124</v>
      </c>
      <c r="N65" s="48">
        <f ca="1">IFERROR(__xludf.DUMMYFUNCTION("""COMPUTED_VALUE"""),109)</f>
        <v>109</v>
      </c>
      <c r="O65" s="48">
        <f ca="1">IFERROR(__xludf.DUMMYFUNCTION("""COMPUTED_VALUE"""),93)</f>
        <v>93</v>
      </c>
      <c r="P65" s="48">
        <f ca="1">IFERROR(__xludf.DUMMYFUNCTION("""COMPUTED_VALUE"""),110)</f>
        <v>110</v>
      </c>
      <c r="Q65" s="48">
        <f ca="1">IFERROR(__xludf.DUMMYFUNCTION("""COMPUTED_VALUE"""),120)</f>
        <v>120</v>
      </c>
      <c r="R65" s="48">
        <f ca="1">IFERROR(__xludf.DUMMYFUNCTION("""COMPUTED_VALUE"""),120)</f>
        <v>120</v>
      </c>
      <c r="S65" s="48">
        <f ca="1">IFERROR(__xludf.DUMMYFUNCTION("""COMPUTED_VALUE"""),5956)</f>
        <v>5956</v>
      </c>
    </row>
    <row r="66" spans="1:19">
      <c r="A66" s="46" t="str">
        <f ca="1">IFERROR(__xludf.DUMMYFUNCTION("""COMPUTED_VALUE"""),"CONSULTAS PSICOLÓGICAS ")</f>
        <v xml:space="preserve">CONSULTAS PSICOLÓGICAS </v>
      </c>
      <c r="B66" s="46">
        <f ca="1">IFERROR(__xludf.DUMMYFUNCTION("""COMPUTED_VALUE"""),1280)</f>
        <v>1280</v>
      </c>
      <c r="C66" s="46" t="str">
        <f ca="1">IFERROR(__xludf.DUMMYFUNCTION("""COMPUTED_VALUE"""),"CONSULTAS")</f>
        <v>CONSULTAS</v>
      </c>
      <c r="D66" s="46" t="str">
        <f ca="1">IFERROR(__xludf.DUMMYFUNCTION("""COMPUTED_VALUE"""),"ASCENDENTE")</f>
        <v>ASCENDENTE</v>
      </c>
      <c r="E66" s="46" t="str">
        <f ca="1">IFERROR(__xludf.DUMMYFUNCTION("""COMPUTED_VALUE"""),"BITACORA OPERATIVA")</f>
        <v>BITACORA OPERATIVA</v>
      </c>
      <c r="F66" s="47">
        <f ca="1">IFERROR(__xludf.DUMMYFUNCTION("""COMPUTED_VALUE"""),197.5)</f>
        <v>197.5</v>
      </c>
      <c r="G66" s="48">
        <f ca="1">IFERROR(__xludf.DUMMYFUNCTION("""COMPUTED_VALUE"""),715)</f>
        <v>715</v>
      </c>
      <c r="H66" s="48">
        <f ca="1">IFERROR(__xludf.DUMMYFUNCTION("""COMPUTED_VALUE"""),420)</f>
        <v>420</v>
      </c>
      <c r="I66" s="48">
        <f ca="1">IFERROR(__xludf.DUMMYFUNCTION("""COMPUTED_VALUE"""),285)</f>
        <v>285</v>
      </c>
      <c r="J66" s="48">
        <f ca="1">IFERROR(__xludf.DUMMYFUNCTION("""COMPUTED_VALUE"""),120)</f>
        <v>120</v>
      </c>
      <c r="K66" s="48">
        <f ca="1">IFERROR(__xludf.DUMMYFUNCTION("""COMPUTED_VALUE"""),130)</f>
        <v>130</v>
      </c>
      <c r="L66" s="48">
        <f ca="1">IFERROR(__xludf.DUMMYFUNCTION("""COMPUTED_VALUE"""),130)</f>
        <v>130</v>
      </c>
      <c r="M66" s="48">
        <f ca="1">IFERROR(__xludf.DUMMYFUNCTION("""COMPUTED_VALUE"""),80)</f>
        <v>80</v>
      </c>
      <c r="N66" s="48">
        <f ca="1">IFERROR(__xludf.DUMMYFUNCTION("""COMPUTED_VALUE"""),106)</f>
        <v>106</v>
      </c>
      <c r="O66" s="48">
        <f ca="1">IFERROR(__xludf.DUMMYFUNCTION("""COMPUTED_VALUE"""),132)</f>
        <v>132</v>
      </c>
      <c r="P66" s="48">
        <f ca="1">IFERROR(__xludf.DUMMYFUNCTION("""COMPUTED_VALUE"""),140)</f>
        <v>140</v>
      </c>
      <c r="Q66" s="48">
        <f ca="1">IFERROR(__xludf.DUMMYFUNCTION("""COMPUTED_VALUE"""),135)</f>
        <v>135</v>
      </c>
      <c r="R66" s="48">
        <f ca="1">IFERROR(__xludf.DUMMYFUNCTION("""COMPUTED_VALUE"""),135)</f>
        <v>135</v>
      </c>
      <c r="S66" s="48">
        <f ca="1">IFERROR(__xludf.DUMMYFUNCTION("""COMPUTED_VALUE"""),2528)</f>
        <v>2528</v>
      </c>
    </row>
    <row r="67" spans="1:19">
      <c r="A67" s="46" t="str">
        <f ca="1">IFERROR(__xludf.DUMMYFUNCTION("""COMPUTED_VALUE"""),"DERIVACIÓN DE CASOS (SEGUNDO NIVEL PSIQUIATRÍA,HCG, ISSSTE, SSJ, CISAME, ETC.)) ")</f>
        <v xml:space="preserve">DERIVACIÓN DE CASOS (SEGUNDO NIVEL PSIQUIATRÍA,HCG, ISSSTE, SSJ, CISAME, ETC.)) </v>
      </c>
      <c r="B67" s="46">
        <f ca="1">IFERROR(__xludf.DUMMYFUNCTION("""COMPUTED_VALUE"""),519)</f>
        <v>519</v>
      </c>
      <c r="C67" s="46" t="str">
        <f ca="1">IFERROR(__xludf.DUMMYFUNCTION("""COMPUTED_VALUE"""),"CASOS DE URGENCIAS DERIVADOS")</f>
        <v>CASOS DE URGENCIAS DERIVADOS</v>
      </c>
      <c r="D67" s="46" t="str">
        <f ca="1">IFERROR(__xludf.DUMMYFUNCTION("""COMPUTED_VALUE"""),"ASCENDENTE")</f>
        <v>ASCENDENTE</v>
      </c>
      <c r="E67" s="46" t="str">
        <f ca="1">IFERROR(__xludf.DUMMYFUNCTION("""COMPUTED_VALUE"""),"BITACORA OPERATIVA")</f>
        <v>BITACORA OPERATIVA</v>
      </c>
      <c r="F67" s="47">
        <f ca="1">IFERROR(__xludf.DUMMYFUNCTION("""COMPUTED_VALUE"""),169.17148362235)</f>
        <v>169.17148362235</v>
      </c>
      <c r="G67" s="48">
        <f ca="1">IFERROR(__xludf.DUMMYFUNCTION("""COMPUTED_VALUE"""),250)</f>
        <v>250</v>
      </c>
      <c r="H67" s="48">
        <f ca="1">IFERROR(__xludf.DUMMYFUNCTION("""COMPUTED_VALUE"""),280)</f>
        <v>280</v>
      </c>
      <c r="I67" s="48">
        <f ca="1">IFERROR(__xludf.DUMMYFUNCTION("""COMPUTED_VALUE"""),125)</f>
        <v>125</v>
      </c>
      <c r="J67" s="48">
        <f ca="1">IFERROR(__xludf.DUMMYFUNCTION("""COMPUTED_VALUE"""),15)</f>
        <v>15</v>
      </c>
      <c r="K67" s="48">
        <f ca="1">IFERROR(__xludf.DUMMYFUNCTION("""COMPUTED_VALUE"""),14)</f>
        <v>14</v>
      </c>
      <c r="L67" s="48">
        <f ca="1">IFERROR(__xludf.DUMMYFUNCTION("""COMPUTED_VALUE"""),16)</f>
        <v>16</v>
      </c>
      <c r="M67" s="48">
        <f ca="1">IFERROR(__xludf.DUMMYFUNCTION("""COMPUTED_VALUE"""),66)</f>
        <v>66</v>
      </c>
      <c r="N67" s="48">
        <f ca="1">IFERROR(__xludf.DUMMYFUNCTION("""COMPUTED_VALUE"""),51)</f>
        <v>51</v>
      </c>
      <c r="O67" s="48">
        <f ca="1">IFERROR(__xludf.DUMMYFUNCTION("""COMPUTED_VALUE"""),36)</f>
        <v>36</v>
      </c>
      <c r="P67" s="48">
        <f ca="1">IFERROR(__xludf.DUMMYFUNCTION("""COMPUTED_VALUE"""),7)</f>
        <v>7</v>
      </c>
      <c r="Q67" s="48">
        <f ca="1">IFERROR(__xludf.DUMMYFUNCTION("""COMPUTED_VALUE"""),8)</f>
        <v>8</v>
      </c>
      <c r="R67" s="48">
        <f ca="1">IFERROR(__xludf.DUMMYFUNCTION("""COMPUTED_VALUE"""),10)</f>
        <v>10</v>
      </c>
      <c r="S67" s="48">
        <f ca="1">IFERROR(__xludf.DUMMYFUNCTION("""COMPUTED_VALUE"""),878)</f>
        <v>878</v>
      </c>
    </row>
    <row r="68" spans="1:19">
      <c r="A68" s="46" t="str">
        <f ca="1">IFERROR(__xludf.DUMMYFUNCTION("""COMPUTED_VALUE"""),"CONSULTAS NUTRICIONALES ")</f>
        <v xml:space="preserve">CONSULTAS NUTRICIONALES </v>
      </c>
      <c r="B68" s="46">
        <f ca="1">IFERROR(__xludf.DUMMYFUNCTION("""COMPUTED_VALUE"""),2340)</f>
        <v>2340</v>
      </c>
      <c r="C68" s="46" t="str">
        <f ca="1">IFERROR(__xludf.DUMMYFUNCTION("""COMPUTED_VALUE""")," CONSULTAS NUTRICIONALES REALIZADAS")</f>
        <v xml:space="preserve"> CONSULTAS NUTRICIONALES REALIZADAS</v>
      </c>
      <c r="D68" s="46" t="str">
        <f ca="1">IFERROR(__xludf.DUMMYFUNCTION("""COMPUTED_VALUE"""),"ASCENDENTE")</f>
        <v>ASCENDENTE</v>
      </c>
      <c r="E68" s="46" t="str">
        <f ca="1">IFERROR(__xludf.DUMMYFUNCTION("""COMPUTED_VALUE"""),"BITACORA OPERATIVA")</f>
        <v>BITACORA OPERATIVA</v>
      </c>
      <c r="F68" s="47">
        <f ca="1">IFERROR(__xludf.DUMMYFUNCTION("""COMPUTED_VALUE"""),119.700854700854)</f>
        <v>119.70085470085399</v>
      </c>
      <c r="G68" s="48">
        <f ca="1">IFERROR(__xludf.DUMMYFUNCTION("""COMPUTED_VALUE"""),429)</f>
        <v>429</v>
      </c>
      <c r="H68" s="48">
        <f ca="1">IFERROR(__xludf.DUMMYFUNCTION("""COMPUTED_VALUE"""),365)</f>
        <v>365</v>
      </c>
      <c r="I68" s="48">
        <f ca="1">IFERROR(__xludf.DUMMYFUNCTION("""COMPUTED_VALUE"""),250)</f>
        <v>250</v>
      </c>
      <c r="J68" s="48">
        <f ca="1">IFERROR(__xludf.DUMMYFUNCTION("""COMPUTED_VALUE"""),150)</f>
        <v>150</v>
      </c>
      <c r="K68" s="48">
        <f ca="1">IFERROR(__xludf.DUMMYFUNCTION("""COMPUTED_VALUE"""),140)</f>
        <v>140</v>
      </c>
      <c r="L68" s="48">
        <f ca="1">IFERROR(__xludf.DUMMYFUNCTION("""COMPUTED_VALUE"""),150)</f>
        <v>150</v>
      </c>
      <c r="M68" s="48">
        <f ca="1">IFERROR(__xludf.DUMMYFUNCTION("""COMPUTED_VALUE"""),202)</f>
        <v>202</v>
      </c>
      <c r="N68" s="48">
        <f ca="1">IFERROR(__xludf.DUMMYFUNCTION("""COMPUTED_VALUE"""),208)</f>
        <v>208</v>
      </c>
      <c r="O68" s="48">
        <f ca="1">IFERROR(__xludf.DUMMYFUNCTION("""COMPUTED_VALUE"""),215)</f>
        <v>215</v>
      </c>
      <c r="P68" s="48">
        <f ca="1">IFERROR(__xludf.DUMMYFUNCTION("""COMPUTED_VALUE"""),230)</f>
        <v>230</v>
      </c>
      <c r="Q68" s="48">
        <f ca="1">IFERROR(__xludf.DUMMYFUNCTION("""COMPUTED_VALUE"""),222)</f>
        <v>222</v>
      </c>
      <c r="R68" s="48">
        <f ca="1">IFERROR(__xludf.DUMMYFUNCTION("""COMPUTED_VALUE"""),240)</f>
        <v>240</v>
      </c>
      <c r="S68" s="48">
        <f ca="1">IFERROR(__xludf.DUMMYFUNCTION("""COMPUTED_VALUE"""),2801)</f>
        <v>2801</v>
      </c>
    </row>
    <row r="69" spans="1:19">
      <c r="A69" s="46" t="str">
        <f ca="1">IFERROR(__xludf.DUMMYFUNCTION("""COMPUTED_VALUE"""),"CONSULTAS DENTALES A PERSONAL DEL AYUNTAMIENTO    CONSULTAS NUTRICIONALES ")</f>
        <v xml:space="preserve">CONSULTAS DENTALES A PERSONAL DEL AYUNTAMIENTO    CONSULTAS NUTRICIONALES </v>
      </c>
      <c r="B69" s="46">
        <f ca="1">IFERROR(__xludf.DUMMYFUNCTION("""COMPUTED_VALUE"""),540)</f>
        <v>540</v>
      </c>
      <c r="C69" s="46" t="str">
        <f ca="1">IFERROR(__xludf.DUMMYFUNCTION("""COMPUTED_VALUE"""),"CONSULTAS DENTALES REALIZADAS A TRABAJADORES DEL AYUNTAMIENTO")</f>
        <v>CONSULTAS DENTALES REALIZADAS A TRABAJADORES DEL AYUNTAMIENTO</v>
      </c>
      <c r="D69" s="46" t="str">
        <f ca="1">IFERROR(__xludf.DUMMYFUNCTION("""COMPUTED_VALUE"""),"ASCENDENTE")</f>
        <v>ASCENDENTE</v>
      </c>
      <c r="E69" s="46" t="str">
        <f ca="1">IFERROR(__xludf.DUMMYFUNCTION("""COMPUTED_VALUE"""),"BITACORA OPERATIVA")</f>
        <v>BITACORA OPERATIVA</v>
      </c>
      <c r="F69" s="47">
        <f ca="1">IFERROR(__xludf.DUMMYFUNCTION("""COMPUTED_VALUE"""),118.333333333333)</f>
        <v>118.333333333333</v>
      </c>
      <c r="G69" s="48">
        <f ca="1">IFERROR(__xludf.DUMMYFUNCTION("""COMPUTED_VALUE"""),80)</f>
        <v>80</v>
      </c>
      <c r="H69" s="48">
        <f ca="1">IFERROR(__xludf.DUMMYFUNCTION("""COMPUTED_VALUE"""),75)</f>
        <v>75</v>
      </c>
      <c r="I69" s="48">
        <f ca="1">IFERROR(__xludf.DUMMYFUNCTION("""COMPUTED_VALUE"""),100)</f>
        <v>100</v>
      </c>
      <c r="J69" s="48">
        <f ca="1">IFERROR(__xludf.DUMMYFUNCTION("""COMPUTED_VALUE"""),60)</f>
        <v>60</v>
      </c>
      <c r="K69" s="48">
        <f ca="1">IFERROR(__xludf.DUMMYFUNCTION("""COMPUTED_VALUE"""),60)</f>
        <v>60</v>
      </c>
      <c r="L69" s="48">
        <f ca="1">IFERROR(__xludf.DUMMYFUNCTION("""COMPUTED_VALUE"""),60)</f>
        <v>60</v>
      </c>
      <c r="M69" s="48">
        <f ca="1">IFERROR(__xludf.DUMMYFUNCTION("""COMPUTED_VALUE"""),39)</f>
        <v>39</v>
      </c>
      <c r="N69" s="48">
        <f ca="1">IFERROR(__xludf.DUMMYFUNCTION("""COMPUTED_VALUE"""),42)</f>
        <v>42</v>
      </c>
      <c r="O69" s="48">
        <f ca="1">IFERROR(__xludf.DUMMYFUNCTION("""COMPUTED_VALUE"""),27)</f>
        <v>27</v>
      </c>
      <c r="P69" s="48">
        <f ca="1">IFERROR(__xludf.DUMMYFUNCTION("""COMPUTED_VALUE"""),32)</f>
        <v>32</v>
      </c>
      <c r="Q69" s="48">
        <f ca="1">IFERROR(__xludf.DUMMYFUNCTION("""COMPUTED_VALUE"""),30)</f>
        <v>30</v>
      </c>
      <c r="R69" s="48">
        <f ca="1">IFERROR(__xludf.DUMMYFUNCTION("""COMPUTED_VALUE"""),34)</f>
        <v>34</v>
      </c>
      <c r="S69" s="48">
        <f ca="1">IFERROR(__xludf.DUMMYFUNCTION("""COMPUTED_VALUE"""),639)</f>
        <v>639</v>
      </c>
    </row>
    <row r="70" spans="1:19">
      <c r="A70" s="46" t="str">
        <f ca="1">IFERROR(__xludf.DUMMYFUNCTION("""COMPUTED_VALUE"""),"CONSULTAS DENTALES A POBLACION ABIERTA ")</f>
        <v xml:space="preserve">CONSULTAS DENTALES A POBLACION ABIERTA </v>
      </c>
      <c r="B70" s="46">
        <f ca="1">IFERROR(__xludf.DUMMYFUNCTION("""COMPUTED_VALUE"""),204)</f>
        <v>204</v>
      </c>
      <c r="C70" s="46" t="str">
        <f ca="1">IFERROR(__xludf.DUMMYFUNCTION("""COMPUTED_VALUE"""),"CONSULTAS DENTALES REALIZADAS A POBLACION ABIERTA")</f>
        <v>CONSULTAS DENTALES REALIZADAS A POBLACION ABIERTA</v>
      </c>
      <c r="D70" s="46" t="str">
        <f ca="1">IFERROR(__xludf.DUMMYFUNCTION("""COMPUTED_VALUE"""),"ASCENDENTE")</f>
        <v>ASCENDENTE</v>
      </c>
      <c r="E70" s="46" t="str">
        <f ca="1">IFERROR(__xludf.DUMMYFUNCTION("""COMPUTED_VALUE"""),"BITACORA OPERATIVA")</f>
        <v>BITACORA OPERATIVA</v>
      </c>
      <c r="F70" s="47">
        <f ca="1">IFERROR(__xludf.DUMMYFUNCTION("""COMPUTED_VALUE"""),171.56862745098)</f>
        <v>171.56862745097999</v>
      </c>
      <c r="G70" s="48">
        <f ca="1">IFERROR(__xludf.DUMMYFUNCTION("""COMPUTED_VALUE"""),25)</f>
        <v>25</v>
      </c>
      <c r="H70" s="48">
        <f ca="1">IFERROR(__xludf.DUMMYFUNCTION("""COMPUTED_VALUE"""),35)</f>
        <v>35</v>
      </c>
      <c r="I70" s="48">
        <f ca="1">IFERROR(__xludf.DUMMYFUNCTION("""COMPUTED_VALUE"""),20)</f>
        <v>20</v>
      </c>
      <c r="J70" s="48">
        <f ca="1">IFERROR(__xludf.DUMMYFUNCTION("""COMPUTED_VALUE"""),12)</f>
        <v>12</v>
      </c>
      <c r="K70" s="48">
        <f ca="1">IFERROR(__xludf.DUMMYFUNCTION("""COMPUTED_VALUE"""),10)</f>
        <v>10</v>
      </c>
      <c r="L70" s="48">
        <f ca="1">IFERROR(__xludf.DUMMYFUNCTION("""COMPUTED_VALUE"""),8)</f>
        <v>8</v>
      </c>
      <c r="M70" s="48">
        <f ca="1">IFERROR(__xludf.DUMMYFUNCTION("""COMPUTED_VALUE"""),38)</f>
        <v>38</v>
      </c>
      <c r="N70" s="48">
        <f ca="1">IFERROR(__xludf.DUMMYFUNCTION("""COMPUTED_VALUE"""),36)</f>
        <v>36</v>
      </c>
      <c r="O70" s="48">
        <f ca="1">IFERROR(__xludf.DUMMYFUNCTION("""COMPUTED_VALUE"""),23)</f>
        <v>23</v>
      </c>
      <c r="P70" s="48">
        <f ca="1">IFERROR(__xludf.DUMMYFUNCTION("""COMPUTED_VALUE"""),53)</f>
        <v>53</v>
      </c>
      <c r="Q70" s="48">
        <f ca="1">IFERROR(__xludf.DUMMYFUNCTION("""COMPUTED_VALUE"""),50)</f>
        <v>50</v>
      </c>
      <c r="R70" s="48">
        <f ca="1">IFERROR(__xludf.DUMMYFUNCTION("""COMPUTED_VALUE"""),40)</f>
        <v>40</v>
      </c>
      <c r="S70" s="48">
        <f ca="1">IFERROR(__xludf.DUMMYFUNCTION("""COMPUTED_VALUE"""),350)</f>
        <v>350</v>
      </c>
    </row>
    <row r="71" spans="1:19">
      <c r="A71" s="46" t="str">
        <f ca="1">IFERROR(__xludf.DUMMYFUNCTION("""COMPUTED_VALUE"""),"CONSULTAS MEDICAS A PERSONAL DEL AYUNTAMIENTO ")</f>
        <v xml:space="preserve">CONSULTAS MEDICAS A PERSONAL DEL AYUNTAMIENTO </v>
      </c>
      <c r="B71" s="46">
        <f ca="1">IFERROR(__xludf.DUMMYFUNCTION("""COMPUTED_VALUE"""),10500)</f>
        <v>10500</v>
      </c>
      <c r="C71" s="46" t="str">
        <f ca="1">IFERROR(__xludf.DUMMYFUNCTION("""COMPUTED_VALUE"""),"CONSULTAS MEDICAS REALIZADAS A PERSONAL DEL AYUNTAMIENTO")</f>
        <v>CONSULTAS MEDICAS REALIZADAS A PERSONAL DEL AYUNTAMIENTO</v>
      </c>
      <c r="D71" s="46" t="str">
        <f ca="1">IFERROR(__xludf.DUMMYFUNCTION("""COMPUTED_VALUE"""),"ASCENDENTE")</f>
        <v>ASCENDENTE</v>
      </c>
      <c r="E71" s="46" t="str">
        <f ca="1">IFERROR(__xludf.DUMMYFUNCTION("""COMPUTED_VALUE"""),"BITACORA OPERATIVA")</f>
        <v>BITACORA OPERATIVA</v>
      </c>
      <c r="F71" s="47">
        <f ca="1">IFERROR(__xludf.DUMMYFUNCTION("""COMPUTED_VALUE"""),173.047619047619)</f>
        <v>173.04761904761901</v>
      </c>
      <c r="G71" s="48">
        <f ca="1">IFERROR(__xludf.DUMMYFUNCTION("""COMPUTED_VALUE"""),2650)</f>
        <v>2650</v>
      </c>
      <c r="H71" s="48">
        <f ca="1">IFERROR(__xludf.DUMMYFUNCTION("""COMPUTED_VALUE"""),2750)</f>
        <v>2750</v>
      </c>
      <c r="I71" s="48">
        <f ca="1">IFERROR(__xludf.DUMMYFUNCTION("""COMPUTED_VALUE"""),3000)</f>
        <v>3000</v>
      </c>
      <c r="J71" s="48">
        <f ca="1">IFERROR(__xludf.DUMMYFUNCTION("""COMPUTED_VALUE"""),880)</f>
        <v>880</v>
      </c>
      <c r="K71" s="48">
        <f ca="1">IFERROR(__xludf.DUMMYFUNCTION("""COMPUTED_VALUE"""),890)</f>
        <v>890</v>
      </c>
      <c r="L71" s="48">
        <f ca="1">IFERROR(__xludf.DUMMYFUNCTION("""COMPUTED_VALUE"""),1000)</f>
        <v>1000</v>
      </c>
      <c r="M71" s="48">
        <f ca="1">IFERROR(__xludf.DUMMYFUNCTION("""COMPUTED_VALUE"""),1038)</f>
        <v>1038</v>
      </c>
      <c r="N71" s="48">
        <f ca="1">IFERROR(__xludf.DUMMYFUNCTION("""COMPUTED_VALUE"""),883)</f>
        <v>883</v>
      </c>
      <c r="O71" s="48">
        <f ca="1">IFERROR(__xludf.DUMMYFUNCTION("""COMPUTED_VALUE"""),729)</f>
        <v>729</v>
      </c>
      <c r="P71" s="48">
        <f ca="1">IFERROR(__xludf.DUMMYFUNCTION("""COMPUTED_VALUE"""),1500)</f>
        <v>1500</v>
      </c>
      <c r="Q71" s="48">
        <f ca="1">IFERROR(__xludf.DUMMYFUNCTION("""COMPUTED_VALUE"""),1400)</f>
        <v>1400</v>
      </c>
      <c r="R71" s="48">
        <f ca="1">IFERROR(__xludf.DUMMYFUNCTION("""COMPUTED_VALUE"""),1450)</f>
        <v>1450</v>
      </c>
      <c r="S71" s="48">
        <f ca="1">IFERROR(__xludf.DUMMYFUNCTION("""COMPUTED_VALUE"""),18170)</f>
        <v>18170</v>
      </c>
    </row>
    <row r="72" spans="1:19">
      <c r="A72" s="46" t="str">
        <f ca="1">IFERROR(__xludf.DUMMYFUNCTION("""COMPUTED_VALUE"""),"CONSULTAS MEDICAS A POBLACION EN GENERAL ")</f>
        <v xml:space="preserve">CONSULTAS MEDICAS A POBLACION EN GENERAL </v>
      </c>
      <c r="B72" s="46">
        <f ca="1">IFERROR(__xludf.DUMMYFUNCTION("""COMPUTED_VALUE"""),5640)</f>
        <v>5640</v>
      </c>
      <c r="C72" s="46" t="str">
        <f ca="1">IFERROR(__xludf.DUMMYFUNCTION("""COMPUTED_VALUE"""),"CONSULTAS MEDICAS REALIZADAS A POBLACION ABIERTA")</f>
        <v>CONSULTAS MEDICAS REALIZADAS A POBLACION ABIERTA</v>
      </c>
      <c r="D72" s="46" t="str">
        <f ca="1">IFERROR(__xludf.DUMMYFUNCTION("""COMPUTED_VALUE"""),"ASCENDENTE")</f>
        <v>ASCENDENTE</v>
      </c>
      <c r="E72" s="46" t="str">
        <f ca="1">IFERROR(__xludf.DUMMYFUNCTION("""COMPUTED_VALUE"""),"BITACORA OPERATIVA")</f>
        <v>BITACORA OPERATIVA</v>
      </c>
      <c r="F72" s="47">
        <f ca="1">IFERROR(__xludf.DUMMYFUNCTION("""COMPUTED_VALUE"""),151.170212765957)</f>
        <v>151.17021276595699</v>
      </c>
      <c r="G72" s="48">
        <f ca="1">IFERROR(__xludf.DUMMYFUNCTION("""COMPUTED_VALUE"""),800)</f>
        <v>800</v>
      </c>
      <c r="H72" s="48">
        <f ca="1">IFERROR(__xludf.DUMMYFUNCTION("""COMPUTED_VALUE"""),700)</f>
        <v>700</v>
      </c>
      <c r="I72" s="48">
        <f ca="1">IFERROR(__xludf.DUMMYFUNCTION("""COMPUTED_VALUE"""),450)</f>
        <v>450</v>
      </c>
      <c r="J72" s="48">
        <f ca="1">IFERROR(__xludf.DUMMYFUNCTION("""COMPUTED_VALUE"""),200)</f>
        <v>200</v>
      </c>
      <c r="K72" s="48">
        <f ca="1">IFERROR(__xludf.DUMMYFUNCTION("""COMPUTED_VALUE"""),180)</f>
        <v>180</v>
      </c>
      <c r="L72" s="48">
        <f ca="1">IFERROR(__xludf.DUMMYFUNCTION("""COMPUTED_VALUE"""),200)</f>
        <v>200</v>
      </c>
      <c r="M72" s="48">
        <f ca="1">IFERROR(__xludf.DUMMYFUNCTION("""COMPUTED_VALUE"""),924)</f>
        <v>924</v>
      </c>
      <c r="N72" s="48">
        <f ca="1">IFERROR(__xludf.DUMMYFUNCTION("""COMPUTED_VALUE"""),710)</f>
        <v>710</v>
      </c>
      <c r="O72" s="48">
        <f ca="1">IFERROR(__xludf.DUMMYFUNCTION("""COMPUTED_VALUE"""),496)</f>
        <v>496</v>
      </c>
      <c r="P72" s="48">
        <f ca="1">IFERROR(__xludf.DUMMYFUNCTION("""COMPUTED_VALUE"""),1366)</f>
        <v>1366</v>
      </c>
      <c r="Q72" s="48">
        <f ca="1">IFERROR(__xludf.DUMMYFUNCTION("""COMPUTED_VALUE"""),1200)</f>
        <v>1200</v>
      </c>
      <c r="R72" s="48">
        <f ca="1">IFERROR(__xludf.DUMMYFUNCTION("""COMPUTED_VALUE"""),1300)</f>
        <v>1300</v>
      </c>
      <c r="S72" s="48">
        <f ca="1">IFERROR(__xludf.DUMMYFUNCTION("""COMPUTED_VALUE"""),8526)</f>
        <v>8526</v>
      </c>
    </row>
    <row r="73" spans="1:19">
      <c r="A73" s="46" t="str">
        <f ca="1">IFERROR(__xludf.DUMMYFUNCTION("""COMPUTED_VALUE"""),"INCAPACIDADES OTORGADAS A SERVIDORES PUBLICOS ")</f>
        <v xml:space="preserve">INCAPACIDADES OTORGADAS A SERVIDORES PUBLICOS </v>
      </c>
      <c r="B73" s="46">
        <f ca="1">IFERROR(__xludf.DUMMYFUNCTION("""COMPUTED_VALUE"""),900)</f>
        <v>900</v>
      </c>
      <c r="C73" s="46" t="str">
        <f ca="1">IFERROR(__xludf.DUMMYFUNCTION("""COMPUTED_VALUE"""),"INCAPACIDADES OTORGADAS A SERVIDORES PUBLICOS")</f>
        <v>INCAPACIDADES OTORGADAS A SERVIDORES PUBLICOS</v>
      </c>
      <c r="D73" s="46" t="str">
        <f ca="1">IFERROR(__xludf.DUMMYFUNCTION("""COMPUTED_VALUE"""),"DECENDENTE")</f>
        <v>DECENDENTE</v>
      </c>
      <c r="E73" s="46" t="str">
        <f ca="1">IFERROR(__xludf.DUMMYFUNCTION("""COMPUTED_VALUE"""),"BITACORA OPERATIVA")</f>
        <v>BITACORA OPERATIVA</v>
      </c>
      <c r="F73" s="47">
        <f ca="1">IFERROR(__xludf.DUMMYFUNCTION("""COMPUTED_VALUE"""),117.222222222222)</f>
        <v>117.222222222222</v>
      </c>
      <c r="G73" s="48">
        <f ca="1">IFERROR(__xludf.DUMMYFUNCTION("""COMPUTED_VALUE"""),80)</f>
        <v>80</v>
      </c>
      <c r="H73" s="48">
        <f ca="1">IFERROR(__xludf.DUMMYFUNCTION("""COMPUTED_VALUE"""),75)</f>
        <v>75</v>
      </c>
      <c r="I73" s="48">
        <f ca="1">IFERROR(__xludf.DUMMYFUNCTION("""COMPUTED_VALUE"""),70)</f>
        <v>70</v>
      </c>
      <c r="J73" s="48">
        <f ca="1">IFERROR(__xludf.DUMMYFUNCTION("""COMPUTED_VALUE"""),24)</f>
        <v>24</v>
      </c>
      <c r="K73" s="48">
        <f ca="1">IFERROR(__xludf.DUMMYFUNCTION("""COMPUTED_VALUE"""),95)</f>
        <v>95</v>
      </c>
      <c r="L73" s="48">
        <f ca="1">IFERROR(__xludf.DUMMYFUNCTION("""COMPUTED_VALUE"""),136)</f>
        <v>136</v>
      </c>
      <c r="M73" s="48">
        <f ca="1">IFERROR(__xludf.DUMMYFUNCTION("""COMPUTED_VALUE"""),99)</f>
        <v>99</v>
      </c>
      <c r="N73" s="48">
        <f ca="1">IFERROR(__xludf.DUMMYFUNCTION("""COMPUTED_VALUE"""),100)</f>
        <v>100</v>
      </c>
      <c r="O73" s="48">
        <f ca="1">IFERROR(__xludf.DUMMYFUNCTION("""COMPUTED_VALUE"""),89)</f>
        <v>89</v>
      </c>
      <c r="P73" s="48">
        <f ca="1">IFERROR(__xludf.DUMMYFUNCTION("""COMPUTED_VALUE"""),102)</f>
        <v>102</v>
      </c>
      <c r="Q73" s="48">
        <f ca="1">IFERROR(__xludf.DUMMYFUNCTION("""COMPUTED_VALUE"""),92)</f>
        <v>92</v>
      </c>
      <c r="R73" s="48">
        <f ca="1">IFERROR(__xludf.DUMMYFUNCTION("""COMPUTED_VALUE"""),93)</f>
        <v>93</v>
      </c>
      <c r="S73" s="48">
        <f ca="1">IFERROR(__xludf.DUMMYFUNCTION("""COMPUTED_VALUE"""),1055)</f>
        <v>1055</v>
      </c>
    </row>
    <row r="74" spans="1:19">
      <c r="A74" s="46" t="str">
        <f ca="1">IFERROR(__xludf.DUMMYFUNCTION("""COMPUTED_VALUE"""),"DIAS DE INCAPACIDAD OTORGADOS ")</f>
        <v xml:space="preserve">DIAS DE INCAPACIDAD OTORGADOS </v>
      </c>
      <c r="B74" s="46">
        <f ca="1">IFERROR(__xludf.DUMMYFUNCTION("""COMPUTED_VALUE"""),5976)</f>
        <v>5976</v>
      </c>
      <c r="C74" s="46" t="str">
        <f ca="1">IFERROR(__xludf.DUMMYFUNCTION("""COMPUTED_VALUE"""),"DIAS DE INCAPACIDAD")</f>
        <v>DIAS DE INCAPACIDAD</v>
      </c>
      <c r="D74" s="46" t="str">
        <f ca="1">IFERROR(__xludf.DUMMYFUNCTION("""COMPUTED_VALUE"""),"DECENDENTE")</f>
        <v>DECENDENTE</v>
      </c>
      <c r="E74" s="46" t="str">
        <f ca="1">IFERROR(__xludf.DUMMYFUNCTION("""COMPUTED_VALUE"""),"BITACORA OPERATIVA")</f>
        <v>BITACORA OPERATIVA</v>
      </c>
      <c r="F74" s="47">
        <f ca="1">IFERROR(__xludf.DUMMYFUNCTION("""COMPUTED_VALUE"""),90.8299866131191)</f>
        <v>90.829986613119104</v>
      </c>
      <c r="G74" s="48">
        <f ca="1">IFERROR(__xludf.DUMMYFUNCTION("""COMPUTED_VALUE"""),125)</f>
        <v>125</v>
      </c>
      <c r="H74" s="48">
        <f ca="1">IFERROR(__xludf.DUMMYFUNCTION("""COMPUTED_VALUE"""),98)</f>
        <v>98</v>
      </c>
      <c r="I74" s="48">
        <f ca="1">IFERROR(__xludf.DUMMYFUNCTION("""COMPUTED_VALUE"""),104)</f>
        <v>104</v>
      </c>
      <c r="J74" s="48">
        <f ca="1">IFERROR(__xludf.DUMMYFUNCTION("""COMPUTED_VALUE"""),400)</f>
        <v>400</v>
      </c>
      <c r="K74" s="48">
        <f ca="1">IFERROR(__xludf.DUMMYFUNCTION("""COMPUTED_VALUE"""),568)</f>
        <v>568</v>
      </c>
      <c r="L74" s="48">
        <f ca="1">IFERROR(__xludf.DUMMYFUNCTION("""COMPUTED_VALUE"""),706)</f>
        <v>706</v>
      </c>
      <c r="M74" s="48">
        <f ca="1">IFERROR(__xludf.DUMMYFUNCTION("""COMPUTED_VALUE"""),548)</f>
        <v>548</v>
      </c>
      <c r="N74" s="48">
        <f ca="1">IFERROR(__xludf.DUMMYFUNCTION("""COMPUTED_VALUE"""),620)</f>
        <v>620</v>
      </c>
      <c r="O74" s="48">
        <f ca="1">IFERROR(__xludf.DUMMYFUNCTION("""COMPUTED_VALUE"""),521)</f>
        <v>521</v>
      </c>
      <c r="P74" s="48">
        <f ca="1">IFERROR(__xludf.DUMMYFUNCTION("""COMPUTED_VALUE"""),580)</f>
        <v>580</v>
      </c>
      <c r="Q74" s="48">
        <f ca="1">IFERROR(__xludf.DUMMYFUNCTION("""COMPUTED_VALUE"""),600)</f>
        <v>600</v>
      </c>
      <c r="R74" s="48">
        <f ca="1">IFERROR(__xludf.DUMMYFUNCTION("""COMPUTED_VALUE"""),558)</f>
        <v>558</v>
      </c>
      <c r="S74" s="48">
        <f ca="1">IFERROR(__xludf.DUMMYFUNCTION("""COMPUTED_VALUE"""),5428)</f>
        <v>5428</v>
      </c>
    </row>
    <row r="75" spans="1:19">
      <c r="A75" s="46" t="str">
        <f ca="1">IFERROR(__xludf.DUMMYFUNCTION("""COMPUTED_VALUE"""),"RECETAS EXPEDIDAS A PERSONAL DEL AYUNTAMIENTO ")</f>
        <v xml:space="preserve">RECETAS EXPEDIDAS A PERSONAL DEL AYUNTAMIENTO </v>
      </c>
      <c r="B75" s="46">
        <f ca="1">IFERROR(__xludf.DUMMYFUNCTION("""COMPUTED_VALUE"""),13800)</f>
        <v>13800</v>
      </c>
      <c r="C75" s="46" t="str">
        <f ca="1">IFERROR(__xludf.DUMMYFUNCTION("""COMPUTED_VALUE"""),"RECETAS EXPEDIDAS A PERSONAL DE AYUNTAMIENTO")</f>
        <v>RECETAS EXPEDIDAS A PERSONAL DE AYUNTAMIENTO</v>
      </c>
      <c r="D75" s="46" t="str">
        <f ca="1">IFERROR(__xludf.DUMMYFUNCTION("""COMPUTED_VALUE"""),"ASCENDENTE")</f>
        <v>ASCENDENTE</v>
      </c>
      <c r="E75" s="46" t="str">
        <f ca="1">IFERROR(__xludf.DUMMYFUNCTION("""COMPUTED_VALUE"""),"BITACORA OPERATIVA")</f>
        <v>BITACORA OPERATIVA</v>
      </c>
      <c r="F75" s="47">
        <f ca="1">IFERROR(__xludf.DUMMYFUNCTION("""COMPUTED_VALUE"""),124.057971014492)</f>
        <v>124.057971014492</v>
      </c>
      <c r="G75" s="48">
        <f ca="1">IFERROR(__xludf.DUMMYFUNCTION("""COMPUTED_VALUE"""),2650)</f>
        <v>2650</v>
      </c>
      <c r="H75" s="48">
        <f ca="1">IFERROR(__xludf.DUMMYFUNCTION("""COMPUTED_VALUE"""),2750)</f>
        <v>2750</v>
      </c>
      <c r="I75" s="48">
        <f ca="1">IFERROR(__xludf.DUMMYFUNCTION("""COMPUTED_VALUE"""),3000)</f>
        <v>3000</v>
      </c>
      <c r="J75" s="48">
        <f ca="1">IFERROR(__xludf.DUMMYFUNCTION("""COMPUTED_VALUE"""),1500)</f>
        <v>1500</v>
      </c>
      <c r="K75" s="48">
        <f ca="1">IFERROR(__xludf.DUMMYFUNCTION("""COMPUTED_VALUE"""),1200)</f>
        <v>1200</v>
      </c>
      <c r="L75" s="48">
        <f ca="1">IFERROR(__xludf.DUMMYFUNCTION("""COMPUTED_VALUE"""),1300)</f>
        <v>1300</v>
      </c>
      <c r="M75" s="48">
        <f ca="1">IFERROR(__xludf.DUMMYFUNCTION("""COMPUTED_VALUE"""),1038)</f>
        <v>1038</v>
      </c>
      <c r="N75" s="48">
        <f ca="1">IFERROR(__xludf.DUMMYFUNCTION("""COMPUTED_VALUE"""),883)</f>
        <v>883</v>
      </c>
      <c r="O75" s="48">
        <f ca="1">IFERROR(__xludf.DUMMYFUNCTION("""COMPUTED_VALUE"""),729)</f>
        <v>729</v>
      </c>
      <c r="P75" s="48">
        <f ca="1">IFERROR(__xludf.DUMMYFUNCTION("""COMPUTED_VALUE"""),800)</f>
        <v>800</v>
      </c>
      <c r="Q75" s="48">
        <f ca="1">IFERROR(__xludf.DUMMYFUNCTION("""COMPUTED_VALUE"""),670)</f>
        <v>670</v>
      </c>
      <c r="R75" s="48">
        <f ca="1">IFERROR(__xludf.DUMMYFUNCTION("""COMPUTED_VALUE"""),600)</f>
        <v>600</v>
      </c>
      <c r="S75" s="48">
        <f ca="1">IFERROR(__xludf.DUMMYFUNCTION("""COMPUTED_VALUE"""),17120)</f>
        <v>17120</v>
      </c>
    </row>
    <row r="76" spans="1:19">
      <c r="A76" s="46" t="str">
        <f ca="1">IFERROR(__xludf.DUMMYFUNCTION("""COMPUTED_VALUE"""),"RECETAS EXPEDIDAS A POBLACION EN GENERAL ")</f>
        <v xml:space="preserve">RECETAS EXPEDIDAS A POBLACION EN GENERAL </v>
      </c>
      <c r="B76" s="46">
        <f ca="1">IFERROR(__xludf.DUMMYFUNCTION("""COMPUTED_VALUE"""),9408)</f>
        <v>9408</v>
      </c>
      <c r="C76" s="46" t="str">
        <f ca="1">IFERROR(__xludf.DUMMYFUNCTION("""COMPUTED_VALUE"""),"RECETAS EXPEDIDAS A POBLACION EN GENERAL")</f>
        <v>RECETAS EXPEDIDAS A POBLACION EN GENERAL</v>
      </c>
      <c r="D76" s="46" t="str">
        <f ca="1">IFERROR(__xludf.DUMMYFUNCTION("""COMPUTED_VALUE"""),"ASCENDENTE")</f>
        <v>ASCENDENTE</v>
      </c>
      <c r="E76" s="46" t="str">
        <f ca="1">IFERROR(__xludf.DUMMYFUNCTION("""COMPUTED_VALUE"""),"BITACORA OPERATIVA")</f>
        <v>BITACORA OPERATIVA</v>
      </c>
      <c r="F76" s="47">
        <f ca="1">IFERROR(__xludf.DUMMYFUNCTION("""COMPUTED_VALUE"""),78.125)</f>
        <v>78.125</v>
      </c>
      <c r="G76" s="48">
        <f ca="1">IFERROR(__xludf.DUMMYFUNCTION("""COMPUTED_VALUE"""),800)</f>
        <v>800</v>
      </c>
      <c r="H76" s="48">
        <f ca="1">IFERROR(__xludf.DUMMYFUNCTION("""COMPUTED_VALUE"""),700)</f>
        <v>700</v>
      </c>
      <c r="I76" s="48">
        <f ca="1">IFERROR(__xludf.DUMMYFUNCTION("""COMPUTED_VALUE"""),450)</f>
        <v>450</v>
      </c>
      <c r="J76" s="48">
        <f ca="1">IFERROR(__xludf.DUMMYFUNCTION("""COMPUTED_VALUE"""),500)</f>
        <v>500</v>
      </c>
      <c r="K76" s="48">
        <f ca="1">IFERROR(__xludf.DUMMYFUNCTION("""COMPUTED_VALUE"""),300)</f>
        <v>300</v>
      </c>
      <c r="L76" s="48">
        <f ca="1">IFERROR(__xludf.DUMMYFUNCTION("""COMPUTED_VALUE"""),400)</f>
        <v>400</v>
      </c>
      <c r="M76" s="48">
        <f ca="1">IFERROR(__xludf.DUMMYFUNCTION("""COMPUTED_VALUE"""),924)</f>
        <v>924</v>
      </c>
      <c r="N76" s="48">
        <f ca="1">IFERROR(__xludf.DUMMYFUNCTION("""COMPUTED_VALUE"""),710)</f>
        <v>710</v>
      </c>
      <c r="O76" s="48">
        <f ca="1">IFERROR(__xludf.DUMMYFUNCTION("""COMPUTED_VALUE"""),496)</f>
        <v>496</v>
      </c>
      <c r="P76" s="48">
        <f ca="1">IFERROR(__xludf.DUMMYFUNCTION("""COMPUTED_VALUE"""),800)</f>
        <v>800</v>
      </c>
      <c r="Q76" s="48">
        <f ca="1">IFERROR(__xludf.DUMMYFUNCTION("""COMPUTED_VALUE"""),670)</f>
        <v>670</v>
      </c>
      <c r="R76" s="48">
        <f ca="1">IFERROR(__xludf.DUMMYFUNCTION("""COMPUTED_VALUE"""),600)</f>
        <v>600</v>
      </c>
      <c r="S76" s="48">
        <f ca="1">IFERROR(__xludf.DUMMYFUNCTION("""COMPUTED_VALUE"""),7350)</f>
        <v>7350</v>
      </c>
    </row>
    <row r="77" spans="1:19">
      <c r="A77" s="46" t="str">
        <f ca="1">IFERROR(__xludf.DUMMYFUNCTION("""COMPUTED_VALUE"""),"EMERGENCIAS ATENDIDAS EN LA UNIDAD MEDICA ")</f>
        <v xml:space="preserve">EMERGENCIAS ATENDIDAS EN LA UNIDAD MEDICA </v>
      </c>
      <c r="B77" s="46">
        <f ca="1">IFERROR(__xludf.DUMMYFUNCTION("""COMPUTED_VALUE"""),3300)</f>
        <v>3300</v>
      </c>
      <c r="C77" s="46" t="str">
        <f ca="1">IFERROR(__xludf.DUMMYFUNCTION("""COMPUTED_VALUE"""),"EMERGENCIAS MEDICAS  ATENDIDAS EN LA UNIDAD DE SERVICIOS MEDICOS")</f>
        <v>EMERGENCIAS MEDICAS  ATENDIDAS EN LA UNIDAD DE SERVICIOS MEDICOS</v>
      </c>
      <c r="D77" s="46" t="str">
        <f ca="1">IFERROR(__xludf.DUMMYFUNCTION("""COMPUTED_VALUE"""),"ASCENDENTE")</f>
        <v>ASCENDENTE</v>
      </c>
      <c r="E77" s="46" t="str">
        <f ca="1">IFERROR(__xludf.DUMMYFUNCTION("""COMPUTED_VALUE"""),"BITACORA OPERATIVA")</f>
        <v>BITACORA OPERATIVA</v>
      </c>
      <c r="F77" s="47">
        <f ca="1">IFERROR(__xludf.DUMMYFUNCTION("""COMPUTED_VALUE"""),84.5454545454545)</f>
        <v>84.545454545454504</v>
      </c>
      <c r="G77" s="48">
        <f ca="1">IFERROR(__xludf.DUMMYFUNCTION("""COMPUTED_VALUE"""),50)</f>
        <v>50</v>
      </c>
      <c r="H77" s="48">
        <f ca="1">IFERROR(__xludf.DUMMYFUNCTION("""COMPUTED_VALUE"""),75)</f>
        <v>75</v>
      </c>
      <c r="I77" s="48">
        <f ca="1">IFERROR(__xludf.DUMMYFUNCTION("""COMPUTED_VALUE"""),89)</f>
        <v>89</v>
      </c>
      <c r="J77" s="48">
        <f ca="1">IFERROR(__xludf.DUMMYFUNCTION("""COMPUTED_VALUE"""),80)</f>
        <v>80</v>
      </c>
      <c r="K77" s="48">
        <f ca="1">IFERROR(__xludf.DUMMYFUNCTION("""COMPUTED_VALUE"""),90)</f>
        <v>90</v>
      </c>
      <c r="L77" s="48">
        <f ca="1">IFERROR(__xludf.DUMMYFUNCTION("""COMPUTED_VALUE"""),80)</f>
        <v>80</v>
      </c>
      <c r="M77" s="48">
        <f ca="1">IFERROR(__xludf.DUMMYFUNCTION("""COMPUTED_VALUE"""),340)</f>
        <v>340</v>
      </c>
      <c r="N77" s="48">
        <f ca="1">IFERROR(__xludf.DUMMYFUNCTION("""COMPUTED_VALUE"""),325)</f>
        <v>325</v>
      </c>
      <c r="O77" s="48">
        <f ca="1">IFERROR(__xludf.DUMMYFUNCTION("""COMPUTED_VALUE"""),311)</f>
        <v>311</v>
      </c>
      <c r="P77" s="48">
        <f ca="1">IFERROR(__xludf.DUMMYFUNCTION("""COMPUTED_VALUE"""),450)</f>
        <v>450</v>
      </c>
      <c r="Q77" s="48">
        <f ca="1">IFERROR(__xludf.DUMMYFUNCTION("""COMPUTED_VALUE"""),400)</f>
        <v>400</v>
      </c>
      <c r="R77" s="48">
        <f ca="1">IFERROR(__xludf.DUMMYFUNCTION("""COMPUTED_VALUE"""),500)</f>
        <v>500</v>
      </c>
      <c r="S77" s="48">
        <f ca="1">IFERROR(__xludf.DUMMYFUNCTION("""COMPUTED_VALUE"""),2790)</f>
        <v>2790</v>
      </c>
    </row>
    <row r="78" spans="1:19">
      <c r="A78" s="46" t="str">
        <f ca="1">IFERROR(__xludf.DUMMYFUNCTION("""COMPUTED_VALUE"""),"EMERGENCIAS ATENDIDAS EN VIA PUBLICA ")</f>
        <v xml:space="preserve">EMERGENCIAS ATENDIDAS EN VIA PUBLICA </v>
      </c>
      <c r="B78" s="46">
        <f ca="1">IFERROR(__xludf.DUMMYFUNCTION("""COMPUTED_VALUE"""),4)</f>
        <v>4</v>
      </c>
      <c r="C78" s="46" t="str">
        <f ca="1">IFERROR(__xludf.DUMMYFUNCTION("""COMPUTED_VALUE"""),"EMERGENCIAS ATENDIDAS EN VIA PUBLICA")</f>
        <v>EMERGENCIAS ATENDIDAS EN VIA PUBLICA</v>
      </c>
      <c r="D78" s="46" t="str">
        <f ca="1">IFERROR(__xludf.DUMMYFUNCTION("""COMPUTED_VALUE"""),"DECENDENTE")</f>
        <v>DECENDENTE</v>
      </c>
      <c r="E78" s="46" t="str">
        <f ca="1">IFERROR(__xludf.DUMMYFUNCTION("""COMPUTED_VALUE"""),"BITACORA OPERATIVA")</f>
        <v>BITACORA OPERATIVA</v>
      </c>
      <c r="F78" s="47">
        <f ca="1">IFERROR(__xludf.DUMMYFUNCTION("""COMPUTED_VALUE"""),0)</f>
        <v>0</v>
      </c>
      <c r="G78" s="48">
        <f ca="1">IFERROR(__xludf.DUMMYFUNCTION("""COMPUTED_VALUE"""),0)</f>
        <v>0</v>
      </c>
      <c r="H78" s="48">
        <f ca="1">IFERROR(__xludf.DUMMYFUNCTION("""COMPUTED_VALUE"""),0)</f>
        <v>0</v>
      </c>
      <c r="I78" s="48">
        <f ca="1">IFERROR(__xludf.DUMMYFUNCTION("""COMPUTED_VALUE"""),0)</f>
        <v>0</v>
      </c>
      <c r="J78" s="48">
        <f ca="1">IFERROR(__xludf.DUMMYFUNCTION("""COMPUTED_VALUE"""),0)</f>
        <v>0</v>
      </c>
      <c r="K78" s="48">
        <f ca="1">IFERROR(__xludf.DUMMYFUNCTION("""COMPUTED_VALUE"""),0)</f>
        <v>0</v>
      </c>
      <c r="L78" s="48">
        <f ca="1">IFERROR(__xludf.DUMMYFUNCTION("""COMPUTED_VALUE"""),0)</f>
        <v>0</v>
      </c>
      <c r="M78" s="48">
        <f ca="1">IFERROR(__xludf.DUMMYFUNCTION("""COMPUTED_VALUE"""),0)</f>
        <v>0</v>
      </c>
      <c r="N78" s="48">
        <f ca="1">IFERROR(__xludf.DUMMYFUNCTION("""COMPUTED_VALUE"""),0)</f>
        <v>0</v>
      </c>
      <c r="O78" s="48">
        <f ca="1">IFERROR(__xludf.DUMMYFUNCTION("""COMPUTED_VALUE"""),0)</f>
        <v>0</v>
      </c>
      <c r="P78" s="48">
        <f ca="1">IFERROR(__xludf.DUMMYFUNCTION("""COMPUTED_VALUE"""),0)</f>
        <v>0</v>
      </c>
      <c r="Q78" s="48">
        <f ca="1">IFERROR(__xludf.DUMMYFUNCTION("""COMPUTED_VALUE"""),0)</f>
        <v>0</v>
      </c>
      <c r="R78" s="48">
        <f ca="1">IFERROR(__xludf.DUMMYFUNCTION("""COMPUTED_VALUE"""),0)</f>
        <v>0</v>
      </c>
      <c r="S78" s="48">
        <f ca="1">IFERROR(__xludf.DUMMYFUNCTION("""COMPUTED_VALUE"""),0)</f>
        <v>0</v>
      </c>
    </row>
    <row r="79" spans="1:19">
      <c r="A79" s="46" t="str">
        <f ca="1">IFERROR(__xludf.DUMMYFUNCTION("""COMPUTED_VALUE"""),"CERTIFICADOS MEDICOS EXPEDIDOS A PERSONAL DEL AYUNTAMIENTO ")</f>
        <v xml:space="preserve">CERTIFICADOS MEDICOS EXPEDIDOS A PERSONAL DEL AYUNTAMIENTO </v>
      </c>
      <c r="B79" s="46">
        <f ca="1">IFERROR(__xludf.DUMMYFUNCTION("""COMPUTED_VALUE"""),504)</f>
        <v>504</v>
      </c>
      <c r="C79" s="46" t="str">
        <f ca="1">IFERROR(__xludf.DUMMYFUNCTION("""COMPUTED_VALUE"""),"CERTIFICADOS MEDICOS EXPEDIDOS A SERVIDORES PUBLICOS")</f>
        <v>CERTIFICADOS MEDICOS EXPEDIDOS A SERVIDORES PUBLICOS</v>
      </c>
      <c r="D79" s="46" t="str">
        <f ca="1">IFERROR(__xludf.DUMMYFUNCTION("""COMPUTED_VALUE"""),"ASCENDENTE")</f>
        <v>ASCENDENTE</v>
      </c>
      <c r="E79" s="46" t="str">
        <f ca="1">IFERROR(__xludf.DUMMYFUNCTION("""COMPUTED_VALUE"""),"BITACORA OPERATIVA")</f>
        <v>BITACORA OPERATIVA</v>
      </c>
      <c r="F79" s="47">
        <f ca="1">IFERROR(__xludf.DUMMYFUNCTION("""COMPUTED_VALUE"""),560.515873015873)</f>
        <v>560.51587301587301</v>
      </c>
      <c r="G79" s="48">
        <f ca="1">IFERROR(__xludf.DUMMYFUNCTION("""COMPUTED_VALUE"""),1250)</f>
        <v>1250</v>
      </c>
      <c r="H79" s="48">
        <f ca="1">IFERROR(__xludf.DUMMYFUNCTION("""COMPUTED_VALUE"""),520)</f>
        <v>520</v>
      </c>
      <c r="I79" s="48">
        <f ca="1">IFERROR(__xludf.DUMMYFUNCTION("""COMPUTED_VALUE"""),450)</f>
        <v>450</v>
      </c>
      <c r="J79" s="48">
        <f ca="1">IFERROR(__xludf.DUMMYFUNCTION("""COMPUTED_VALUE"""),60)</f>
        <v>60</v>
      </c>
      <c r="K79" s="48">
        <f ca="1">IFERROR(__xludf.DUMMYFUNCTION("""COMPUTED_VALUE"""),80)</f>
        <v>80</v>
      </c>
      <c r="L79" s="48">
        <f ca="1">IFERROR(__xludf.DUMMYFUNCTION("""COMPUTED_VALUE"""),70)</f>
        <v>70</v>
      </c>
      <c r="M79" s="48">
        <f ca="1">IFERROR(__xludf.DUMMYFUNCTION("""COMPUTED_VALUE"""),40)</f>
        <v>40</v>
      </c>
      <c r="N79" s="48">
        <f ca="1">IFERROR(__xludf.DUMMYFUNCTION("""COMPUTED_VALUE"""),37)</f>
        <v>37</v>
      </c>
      <c r="O79" s="48">
        <f ca="1">IFERROR(__xludf.DUMMYFUNCTION("""COMPUTED_VALUE"""),33)</f>
        <v>33</v>
      </c>
      <c r="P79" s="48">
        <f ca="1">IFERROR(__xludf.DUMMYFUNCTION("""COMPUTED_VALUE"""),45)</f>
        <v>45</v>
      </c>
      <c r="Q79" s="48">
        <f ca="1">IFERROR(__xludf.DUMMYFUNCTION("""COMPUTED_VALUE"""),120)</f>
        <v>120</v>
      </c>
      <c r="R79" s="48">
        <f ca="1">IFERROR(__xludf.DUMMYFUNCTION("""COMPUTED_VALUE"""),120)</f>
        <v>120</v>
      </c>
      <c r="S79" s="48">
        <f ca="1">IFERROR(__xludf.DUMMYFUNCTION("""COMPUTED_VALUE"""),2825)</f>
        <v>2825</v>
      </c>
    </row>
    <row r="80" spans="1:19">
      <c r="A80" s="46" t="str">
        <f ca="1">IFERROR(__xludf.DUMMYFUNCTION("""COMPUTED_VALUE"""),"CERTIFICADOS MEDICOS EXPEDIDOS A POBLACION EN GENERAL ")</f>
        <v xml:space="preserve">CERTIFICADOS MEDICOS EXPEDIDOS A POBLACION EN GENERAL </v>
      </c>
      <c r="B80" s="46">
        <f ca="1">IFERROR(__xludf.DUMMYFUNCTION("""COMPUTED_VALUE"""),1020)</f>
        <v>1020</v>
      </c>
      <c r="C80" s="46" t="str">
        <f ca="1">IFERROR(__xludf.DUMMYFUNCTION("""COMPUTED_VALUE"""),"CERTIFICADOS MEDICOS EXPEDIDOS A POBLACION EN GENERAL")</f>
        <v>CERTIFICADOS MEDICOS EXPEDIDOS A POBLACION EN GENERAL</v>
      </c>
      <c r="D80" s="46" t="str">
        <f ca="1">IFERROR(__xludf.DUMMYFUNCTION("""COMPUTED_VALUE"""),"ASCENDENTE")</f>
        <v>ASCENDENTE</v>
      </c>
      <c r="E80" s="46" t="str">
        <f ca="1">IFERROR(__xludf.DUMMYFUNCTION("""COMPUTED_VALUE"""),"BITACORA OPERATIVA")</f>
        <v>BITACORA OPERATIVA</v>
      </c>
      <c r="F80" s="47">
        <f ca="1">IFERROR(__xludf.DUMMYFUNCTION("""COMPUTED_VALUE"""),174.117647058823)</f>
        <v>174.117647058823</v>
      </c>
      <c r="G80" s="48">
        <f ca="1">IFERROR(__xludf.DUMMYFUNCTION("""COMPUTED_VALUE"""),450)</f>
        <v>450</v>
      </c>
      <c r="H80" s="48">
        <f ca="1">IFERROR(__xludf.DUMMYFUNCTION("""COMPUTED_VALUE"""),300)</f>
        <v>300</v>
      </c>
      <c r="I80" s="48">
        <f ca="1">IFERROR(__xludf.DUMMYFUNCTION("""COMPUTED_VALUE"""),250)</f>
        <v>250</v>
      </c>
      <c r="J80" s="48">
        <f ca="1">IFERROR(__xludf.DUMMYFUNCTION("""COMPUTED_VALUE"""),100)</f>
        <v>100</v>
      </c>
      <c r="K80" s="48">
        <f ca="1">IFERROR(__xludf.DUMMYFUNCTION("""COMPUTED_VALUE"""),70)</f>
        <v>70</v>
      </c>
      <c r="L80" s="48">
        <f ca="1">IFERROR(__xludf.DUMMYFUNCTION("""COMPUTED_VALUE"""),70)</f>
        <v>70</v>
      </c>
      <c r="M80" s="48">
        <f ca="1">IFERROR(__xludf.DUMMYFUNCTION("""COMPUTED_VALUE"""),84)</f>
        <v>84</v>
      </c>
      <c r="N80" s="48">
        <f ca="1">IFERROR(__xludf.DUMMYFUNCTION("""COMPUTED_VALUE"""),72)</f>
        <v>72</v>
      </c>
      <c r="O80" s="48">
        <f ca="1">IFERROR(__xludf.DUMMYFUNCTION("""COMPUTED_VALUE"""),60)</f>
        <v>60</v>
      </c>
      <c r="P80" s="48">
        <f ca="1">IFERROR(__xludf.DUMMYFUNCTION("""COMPUTED_VALUE"""),60)</f>
        <v>60</v>
      </c>
      <c r="Q80" s="48">
        <f ca="1">IFERROR(__xludf.DUMMYFUNCTION("""COMPUTED_VALUE"""),60)</f>
        <v>60</v>
      </c>
      <c r="R80" s="48">
        <f ca="1">IFERROR(__xludf.DUMMYFUNCTION("""COMPUTED_VALUE"""),200)</f>
        <v>200</v>
      </c>
      <c r="S80" s="48">
        <f ca="1">IFERROR(__xludf.DUMMYFUNCTION("""COMPUTED_VALUE"""),1776)</f>
        <v>1776</v>
      </c>
    </row>
    <row r="81" spans="1:19">
      <c r="A81" s="46" t="str">
        <f ca="1">IFERROR(__xludf.DUMMYFUNCTION("""COMPUTED_VALUE"""),"PLÁTICAS DE NUTRICIÓN, MEDICINA DENTAL Y ENFERMERÍA  ")</f>
        <v xml:space="preserve">PLÁTICAS DE NUTRICIÓN, MEDICINA DENTAL Y ENFERMERÍA  </v>
      </c>
      <c r="B81" s="46">
        <f ca="1">IFERROR(__xludf.DUMMYFUNCTION("""COMPUTED_VALUE"""),30)</f>
        <v>30</v>
      </c>
      <c r="C81" s="46" t="str">
        <f ca="1">IFERROR(__xludf.DUMMYFUNCTION("""COMPUTED_VALUE"""),"PLATICAS MEDICAS REALIZADAS")</f>
        <v>PLATICAS MEDICAS REALIZADAS</v>
      </c>
      <c r="D81" s="46" t="str">
        <f ca="1">IFERROR(__xludf.DUMMYFUNCTION("""COMPUTED_VALUE"""),"ASCENDENTE")</f>
        <v>ASCENDENTE</v>
      </c>
      <c r="E81" s="46" t="str">
        <f ca="1">IFERROR(__xludf.DUMMYFUNCTION("""COMPUTED_VALUE"""),"BITACORA OPERATIVA")</f>
        <v>BITACORA OPERATIVA</v>
      </c>
      <c r="F81" s="47">
        <f ca="1">IFERROR(__xludf.DUMMYFUNCTION("""COMPUTED_VALUE"""),73.3333333333333)</f>
        <v>73.3333333333333</v>
      </c>
      <c r="G81" s="48">
        <f ca="1">IFERROR(__xludf.DUMMYFUNCTION("""COMPUTED_VALUE"""),0)</f>
        <v>0</v>
      </c>
      <c r="H81" s="48">
        <f ca="1">IFERROR(__xludf.DUMMYFUNCTION("""COMPUTED_VALUE"""),0)</f>
        <v>0</v>
      </c>
      <c r="I81" s="48">
        <f ca="1">IFERROR(__xludf.DUMMYFUNCTION("""COMPUTED_VALUE"""),0)</f>
        <v>0</v>
      </c>
      <c r="J81" s="48">
        <f ca="1">IFERROR(__xludf.DUMMYFUNCTION("""COMPUTED_VALUE"""),1)</f>
        <v>1</v>
      </c>
      <c r="K81" s="48">
        <f ca="1">IFERROR(__xludf.DUMMYFUNCTION("""COMPUTED_VALUE"""),1)</f>
        <v>1</v>
      </c>
      <c r="L81" s="48">
        <f ca="1">IFERROR(__xludf.DUMMYFUNCTION("""COMPUTED_VALUE"""),1)</f>
        <v>1</v>
      </c>
      <c r="M81" s="48">
        <f ca="1">IFERROR(__xludf.DUMMYFUNCTION("""COMPUTED_VALUE"""),6)</f>
        <v>6</v>
      </c>
      <c r="N81" s="48">
        <f ca="1">IFERROR(__xludf.DUMMYFUNCTION("""COMPUTED_VALUE"""),4)</f>
        <v>4</v>
      </c>
      <c r="O81" s="48">
        <f ca="1">IFERROR(__xludf.DUMMYFUNCTION("""COMPUTED_VALUE"""),2)</f>
        <v>2</v>
      </c>
      <c r="P81" s="48">
        <f ca="1">IFERROR(__xludf.DUMMYFUNCTION("""COMPUTED_VALUE"""),3)</f>
        <v>3</v>
      </c>
      <c r="Q81" s="48">
        <f ca="1">IFERROR(__xludf.DUMMYFUNCTION("""COMPUTED_VALUE"""),2)</f>
        <v>2</v>
      </c>
      <c r="R81" s="48">
        <f ca="1">IFERROR(__xludf.DUMMYFUNCTION("""COMPUTED_VALUE"""),2)</f>
        <v>2</v>
      </c>
      <c r="S81" s="48">
        <f ca="1">IFERROR(__xludf.DUMMYFUNCTION("""COMPUTED_VALUE"""),22)</f>
        <v>22</v>
      </c>
    </row>
    <row r="82" spans="1:19">
      <c r="A82" s="46" t="str">
        <f ca="1">IFERROR(__xludf.DUMMYFUNCTION("""COMPUTED_VALUE"""),"NÚMERO DE ASISTENTES ")</f>
        <v xml:space="preserve">NÚMERO DE ASISTENTES </v>
      </c>
      <c r="B82" s="46">
        <f ca="1">IFERROR(__xludf.DUMMYFUNCTION("""COMPUTED_VALUE"""),1056)</f>
        <v>1056</v>
      </c>
      <c r="C82" s="46" t="str">
        <f ca="1">IFERROR(__xludf.DUMMYFUNCTION("""COMPUTED_VALUE"""),"ASISTENTES A LAS PLATICAS MEDICAS")</f>
        <v>ASISTENTES A LAS PLATICAS MEDICAS</v>
      </c>
      <c r="D82" s="46" t="str">
        <f ca="1">IFERROR(__xludf.DUMMYFUNCTION("""COMPUTED_VALUE"""),"ASCENDENTE")</f>
        <v>ASCENDENTE</v>
      </c>
      <c r="E82" s="46" t="str">
        <f ca="1">IFERROR(__xludf.DUMMYFUNCTION("""COMPUTED_VALUE"""),"BITACORA OPERATIVA")</f>
        <v>BITACORA OPERATIVA</v>
      </c>
      <c r="F82" s="47">
        <f ca="1">IFERROR(__xludf.DUMMYFUNCTION("""COMPUTED_VALUE"""),1275)</f>
        <v>1275</v>
      </c>
      <c r="G82" s="48">
        <f ca="1">IFERROR(__xludf.DUMMYFUNCTION("""COMPUTED_VALUE"""),4300)</f>
        <v>4300</v>
      </c>
      <c r="H82" s="48">
        <f ca="1">IFERROR(__xludf.DUMMYFUNCTION("""COMPUTED_VALUE"""),4200)</f>
        <v>4200</v>
      </c>
      <c r="I82" s="48">
        <f ca="1">IFERROR(__xludf.DUMMYFUNCTION("""COMPUTED_VALUE"""),4350)</f>
        <v>4350</v>
      </c>
      <c r="J82" s="48">
        <f ca="1">IFERROR(__xludf.DUMMYFUNCTION("""COMPUTED_VALUE"""),25)</f>
        <v>25</v>
      </c>
      <c r="K82" s="48">
        <f ca="1">IFERROR(__xludf.DUMMYFUNCTION("""COMPUTED_VALUE"""),30)</f>
        <v>30</v>
      </c>
      <c r="L82" s="48">
        <f ca="1">IFERROR(__xludf.DUMMYFUNCTION("""COMPUTED_VALUE"""),30)</f>
        <v>30</v>
      </c>
      <c r="M82" s="48">
        <f ca="1">IFERROR(__xludf.DUMMYFUNCTION("""COMPUTED_VALUE"""),61)</f>
        <v>61</v>
      </c>
      <c r="N82" s="48">
        <f ca="1">IFERROR(__xludf.DUMMYFUNCTION("""COMPUTED_VALUE"""),120)</f>
        <v>120</v>
      </c>
      <c r="O82" s="48">
        <f ca="1">IFERROR(__xludf.DUMMYFUNCTION("""COMPUTED_VALUE"""),168)</f>
        <v>168</v>
      </c>
      <c r="P82" s="48">
        <f ca="1">IFERROR(__xludf.DUMMYFUNCTION("""COMPUTED_VALUE"""),60)</f>
        <v>60</v>
      </c>
      <c r="Q82" s="48">
        <f ca="1">IFERROR(__xludf.DUMMYFUNCTION("""COMPUTED_VALUE"""),60)</f>
        <v>60</v>
      </c>
      <c r="R82" s="48">
        <f ca="1">IFERROR(__xludf.DUMMYFUNCTION("""COMPUTED_VALUE"""),60)</f>
        <v>60</v>
      </c>
      <c r="S82" s="48">
        <f ca="1">IFERROR(__xludf.DUMMYFUNCTION("""COMPUTED_VALUE"""),13464)</f>
        <v>13464</v>
      </c>
    </row>
    <row r="83" spans="1:19">
      <c r="A83" s="46" t="str">
        <f ca="1">IFERROR(__xludf.DUMMYFUNCTION("""COMPUTED_VALUE"""),"VISITAS A CENTRO DE TRABAJO    ")</f>
        <v xml:space="preserve">VISITAS A CENTRO DE TRABAJO    </v>
      </c>
      <c r="B83" s="46">
        <f ca="1">IFERROR(__xludf.DUMMYFUNCTION("""COMPUTED_VALUE"""),5)</f>
        <v>5</v>
      </c>
      <c r="C83" s="46" t="str">
        <f ca="1">IFERROR(__xludf.DUMMYFUNCTION("""COMPUTED_VALUE"""),"VISITAS A CENTRO DE TRABAJO REALIZADAS")</f>
        <v>VISITAS A CENTRO DE TRABAJO REALIZADAS</v>
      </c>
      <c r="D83" s="46" t="str">
        <f ca="1">IFERROR(__xludf.DUMMYFUNCTION("""COMPUTED_VALUE"""),"DECENDENTE")</f>
        <v>DECENDENTE</v>
      </c>
      <c r="E83" s="46" t="str">
        <f ca="1">IFERROR(__xludf.DUMMYFUNCTION("""COMPUTED_VALUE"""),"BITACORA OPERATIVA")</f>
        <v>BITACORA OPERATIVA</v>
      </c>
      <c r="F83" s="47">
        <f ca="1">IFERROR(__xludf.DUMMYFUNCTION("""COMPUTED_VALUE"""),120)</f>
        <v>120</v>
      </c>
      <c r="G83" s="48">
        <f ca="1">IFERROR(__xludf.DUMMYFUNCTION("""COMPUTED_VALUE"""),0)</f>
        <v>0</v>
      </c>
      <c r="H83" s="48">
        <f ca="1">IFERROR(__xludf.DUMMYFUNCTION("""COMPUTED_VALUE"""),0)</f>
        <v>0</v>
      </c>
      <c r="I83" s="48">
        <f ca="1">IFERROR(__xludf.DUMMYFUNCTION("""COMPUTED_VALUE"""),0)</f>
        <v>0</v>
      </c>
      <c r="J83" s="48">
        <f ca="1">IFERROR(__xludf.DUMMYFUNCTION("""COMPUTED_VALUE"""),1)</f>
        <v>1</v>
      </c>
      <c r="K83" s="48">
        <f ca="1">IFERROR(__xludf.DUMMYFUNCTION("""COMPUTED_VALUE"""),1)</f>
        <v>1</v>
      </c>
      <c r="L83" s="48">
        <f ca="1">IFERROR(__xludf.DUMMYFUNCTION("""COMPUTED_VALUE"""),1)</f>
        <v>1</v>
      </c>
      <c r="M83" s="48">
        <f ca="1">IFERROR(__xludf.DUMMYFUNCTION("""COMPUTED_VALUE"""),1)</f>
        <v>1</v>
      </c>
      <c r="N83" s="48">
        <f ca="1">IFERROR(__xludf.DUMMYFUNCTION("""COMPUTED_VALUE"""),1)</f>
        <v>1</v>
      </c>
      <c r="O83" s="48">
        <f ca="1">IFERROR(__xludf.DUMMYFUNCTION("""COMPUTED_VALUE"""),1)</f>
        <v>1</v>
      </c>
      <c r="P83" s="48">
        <f ca="1">IFERROR(__xludf.DUMMYFUNCTION("""COMPUTED_VALUE"""),0)</f>
        <v>0</v>
      </c>
      <c r="Q83" s="48">
        <f ca="1">IFERROR(__xludf.DUMMYFUNCTION("""COMPUTED_VALUE"""),0)</f>
        <v>0</v>
      </c>
      <c r="R83" s="48">
        <f ca="1">IFERROR(__xludf.DUMMYFUNCTION("""COMPUTED_VALUE"""),0)</f>
        <v>0</v>
      </c>
      <c r="S83" s="48">
        <f ca="1">IFERROR(__xludf.DUMMYFUNCTION("""COMPUTED_VALUE"""),6)</f>
        <v>6</v>
      </c>
    </row>
    <row r="84" spans="1:19">
      <c r="A84" s="46" t="str">
        <f ca="1">IFERROR(__xludf.DUMMYFUNCTION("""COMPUTED_VALUE"""),"TOTAL DE ATENCIONES EN EMERGENCIAS ")</f>
        <v xml:space="preserve">TOTAL DE ATENCIONES EN EMERGENCIAS </v>
      </c>
      <c r="B84" s="46">
        <f ca="1">IFERROR(__xludf.DUMMYFUNCTION("""COMPUTED_VALUE"""),3840)</f>
        <v>3840</v>
      </c>
      <c r="C84" s="46" t="str">
        <f ca="1">IFERROR(__xludf.DUMMYFUNCTION("""COMPUTED_VALUE"""),"EMERGENCIAS ATENDIDAS")</f>
        <v>EMERGENCIAS ATENDIDAS</v>
      </c>
      <c r="D84" s="46" t="str">
        <f ca="1">IFERROR(__xludf.DUMMYFUNCTION("""COMPUTED_VALUE"""),"DECENDENTE")</f>
        <v>DECENDENTE</v>
      </c>
      <c r="E84" s="46" t="str">
        <f ca="1">IFERROR(__xludf.DUMMYFUNCTION("""COMPUTED_VALUE"""),"BITACORA OPERATIVA")</f>
        <v>BITACORA OPERATIVA</v>
      </c>
      <c r="F84" s="47">
        <f ca="1">IFERROR(__xludf.DUMMYFUNCTION("""COMPUTED_VALUE"""),81.1458333333333)</f>
        <v>81.1458333333333</v>
      </c>
      <c r="G84" s="48">
        <f ca="1">IFERROR(__xludf.DUMMYFUNCTION("""COMPUTED_VALUE"""),45)</f>
        <v>45</v>
      </c>
      <c r="H84" s="48">
        <f ca="1">IFERROR(__xludf.DUMMYFUNCTION("""COMPUTED_VALUE"""),50)</f>
        <v>50</v>
      </c>
      <c r="I84" s="48">
        <f ca="1">IFERROR(__xludf.DUMMYFUNCTION("""COMPUTED_VALUE"""),75)</f>
        <v>75</v>
      </c>
      <c r="J84" s="48">
        <f ca="1">IFERROR(__xludf.DUMMYFUNCTION("""COMPUTED_VALUE"""),80)</f>
        <v>80</v>
      </c>
      <c r="K84" s="48">
        <f ca="1">IFERROR(__xludf.DUMMYFUNCTION("""COMPUTED_VALUE"""),90)</f>
        <v>90</v>
      </c>
      <c r="L84" s="48">
        <f ca="1">IFERROR(__xludf.DUMMYFUNCTION("""COMPUTED_VALUE"""),80)</f>
        <v>80</v>
      </c>
      <c r="M84" s="48">
        <f ca="1">IFERROR(__xludf.DUMMYFUNCTION("""COMPUTED_VALUE"""),340)</f>
        <v>340</v>
      </c>
      <c r="N84" s="48">
        <f ca="1">IFERROR(__xludf.DUMMYFUNCTION("""COMPUTED_VALUE"""),325)</f>
        <v>325</v>
      </c>
      <c r="O84" s="48">
        <f ca="1">IFERROR(__xludf.DUMMYFUNCTION("""COMPUTED_VALUE"""),311)</f>
        <v>311</v>
      </c>
      <c r="P84" s="48">
        <f ca="1">IFERROR(__xludf.DUMMYFUNCTION("""COMPUTED_VALUE"""),450)</f>
        <v>450</v>
      </c>
      <c r="Q84" s="48">
        <f ca="1">IFERROR(__xludf.DUMMYFUNCTION("""COMPUTED_VALUE"""),670)</f>
        <v>670</v>
      </c>
      <c r="R84" s="48">
        <f ca="1">IFERROR(__xludf.DUMMYFUNCTION("""COMPUTED_VALUE"""),600)</f>
        <v>600</v>
      </c>
      <c r="S84" s="48">
        <f ca="1">IFERROR(__xludf.DUMMYFUNCTION("""COMPUTED_VALUE"""),3116)</f>
        <v>3116</v>
      </c>
    </row>
    <row r="85" spans="1:19">
      <c r="A85" s="46" t="str">
        <f ca="1">IFERROR(__xludf.DUMMYFUNCTION("""COMPUTED_VALUE"""),"
HOSPITALIZACIONES ")</f>
        <v xml:space="preserve">
HOSPITALIZACIONES </v>
      </c>
      <c r="B85" s="46">
        <f ca="1">IFERROR(__xludf.DUMMYFUNCTION("""COMPUTED_VALUE"""),600)</f>
        <v>600</v>
      </c>
      <c r="C85" s="46" t="str">
        <f ca="1">IFERROR(__xludf.DUMMYFUNCTION("""COMPUTED_VALUE"""),"HOSPITALIZACIONES EFECTUADAS")</f>
        <v>HOSPITALIZACIONES EFECTUADAS</v>
      </c>
      <c r="D85" s="46" t="str">
        <f ca="1">IFERROR(__xludf.DUMMYFUNCTION("""COMPUTED_VALUE"""),"DECENDENTE")</f>
        <v>DECENDENTE</v>
      </c>
      <c r="E85" s="46" t="str">
        <f ca="1">IFERROR(__xludf.DUMMYFUNCTION("""COMPUTED_VALUE"""),"BITACORA OPERATIVA")</f>
        <v>BITACORA OPERATIVA</v>
      </c>
      <c r="F85" s="47">
        <f ca="1">IFERROR(__xludf.DUMMYFUNCTION("""COMPUTED_VALUE"""),86.6666666666666)</f>
        <v>86.6666666666666</v>
      </c>
      <c r="G85" s="48">
        <f ca="1">IFERROR(__xludf.DUMMYFUNCTION("""COMPUTED_VALUE"""),30)</f>
        <v>30</v>
      </c>
      <c r="H85" s="48">
        <f ca="1">IFERROR(__xludf.DUMMYFUNCTION("""COMPUTED_VALUE"""),30)</f>
        <v>30</v>
      </c>
      <c r="I85" s="48">
        <f ca="1">IFERROR(__xludf.DUMMYFUNCTION("""COMPUTED_VALUE"""),30)</f>
        <v>30</v>
      </c>
      <c r="J85" s="48">
        <f ca="1">IFERROR(__xludf.DUMMYFUNCTION("""COMPUTED_VALUE"""),25)</f>
        <v>25</v>
      </c>
      <c r="K85" s="48">
        <f ca="1">IFERROR(__xludf.DUMMYFUNCTION("""COMPUTED_VALUE"""),30)</f>
        <v>30</v>
      </c>
      <c r="L85" s="48">
        <f ca="1">IFERROR(__xludf.DUMMYFUNCTION("""COMPUTED_VALUE"""),20)</f>
        <v>20</v>
      </c>
      <c r="M85" s="48">
        <f ca="1">IFERROR(__xludf.DUMMYFUNCTION("""COMPUTED_VALUE"""),62)</f>
        <v>62</v>
      </c>
      <c r="N85" s="48">
        <f ca="1">IFERROR(__xludf.DUMMYFUNCTION("""COMPUTED_VALUE"""),59)</f>
        <v>59</v>
      </c>
      <c r="O85" s="48">
        <f ca="1">IFERROR(__xludf.DUMMYFUNCTION("""COMPUTED_VALUE"""),57)</f>
        <v>57</v>
      </c>
      <c r="P85" s="48">
        <f ca="1">IFERROR(__xludf.DUMMYFUNCTION("""COMPUTED_VALUE"""),47)</f>
        <v>47</v>
      </c>
      <c r="Q85" s="48">
        <f ca="1">IFERROR(__xludf.DUMMYFUNCTION("""COMPUTED_VALUE"""),70)</f>
        <v>70</v>
      </c>
      <c r="R85" s="48">
        <f ca="1">IFERROR(__xludf.DUMMYFUNCTION("""COMPUTED_VALUE"""),60)</f>
        <v>60</v>
      </c>
      <c r="S85" s="48">
        <f ca="1">IFERROR(__xludf.DUMMYFUNCTION("""COMPUTED_VALUE"""),520)</f>
        <v>520</v>
      </c>
    </row>
    <row r="86" spans="1:19">
      <c r="A86" s="46" t="str">
        <f ca="1">IFERROR(__xludf.DUMMYFUNCTION("""COMPUTED_VALUE"""),"CURACIONES")</f>
        <v>CURACIONES</v>
      </c>
      <c r="B86" s="46">
        <f ca="1">IFERROR(__xludf.DUMMYFUNCTION("""COMPUTED_VALUE"""),960)</f>
        <v>960</v>
      </c>
      <c r="C86" s="46" t="str">
        <f ca="1">IFERROR(__xludf.DUMMYFUNCTION("""COMPUTED_VALUE"""),"CURACIONES REALIZADAS")</f>
        <v>CURACIONES REALIZADAS</v>
      </c>
      <c r="D86" s="46" t="str">
        <f ca="1">IFERROR(__xludf.DUMMYFUNCTION("""COMPUTED_VALUE"""),"ASCENDENTE")</f>
        <v>ASCENDENTE</v>
      </c>
      <c r="E86" s="46" t="str">
        <f ca="1">IFERROR(__xludf.DUMMYFUNCTION("""COMPUTED_VALUE"""),"BITACORA OPERATIVA")</f>
        <v>BITACORA OPERATIVA</v>
      </c>
      <c r="F86" s="47">
        <f ca="1">IFERROR(__xludf.DUMMYFUNCTION("""COMPUTED_VALUE"""),90.4166666666666)</f>
        <v>90.4166666666666</v>
      </c>
      <c r="G86" s="48">
        <f ca="1">IFERROR(__xludf.DUMMYFUNCTION("""COMPUTED_VALUE"""),70)</f>
        <v>70</v>
      </c>
      <c r="H86" s="48">
        <f ca="1">IFERROR(__xludf.DUMMYFUNCTION("""COMPUTED_VALUE"""),65)</f>
        <v>65</v>
      </c>
      <c r="I86" s="48">
        <f ca="1">IFERROR(__xludf.DUMMYFUNCTION("""COMPUTED_VALUE"""),80)</f>
        <v>80</v>
      </c>
      <c r="J86" s="48">
        <f ca="1">IFERROR(__xludf.DUMMYFUNCTION("""COMPUTED_VALUE"""),12)</f>
        <v>12</v>
      </c>
      <c r="K86" s="48">
        <f ca="1">IFERROR(__xludf.DUMMYFUNCTION("""COMPUTED_VALUE"""),15)</f>
        <v>15</v>
      </c>
      <c r="L86" s="48">
        <f ca="1">IFERROR(__xludf.DUMMYFUNCTION("""COMPUTED_VALUE"""),15)</f>
        <v>15</v>
      </c>
      <c r="M86" s="48">
        <f ca="1">IFERROR(__xludf.DUMMYFUNCTION("""COMPUTED_VALUE"""),71)</f>
        <v>71</v>
      </c>
      <c r="N86" s="48">
        <f ca="1">IFERROR(__xludf.DUMMYFUNCTION("""COMPUTED_VALUE"""),87)</f>
        <v>87</v>
      </c>
      <c r="O86" s="48">
        <f ca="1">IFERROR(__xludf.DUMMYFUNCTION("""COMPUTED_VALUE"""),103)</f>
        <v>103</v>
      </c>
      <c r="P86" s="48">
        <f ca="1">IFERROR(__xludf.DUMMYFUNCTION("""COMPUTED_VALUE"""),100)</f>
        <v>100</v>
      </c>
      <c r="Q86" s="48">
        <f ca="1">IFERROR(__xludf.DUMMYFUNCTION("""COMPUTED_VALUE"""),120)</f>
        <v>120</v>
      </c>
      <c r="R86" s="48">
        <f ca="1">IFERROR(__xludf.DUMMYFUNCTION("""COMPUTED_VALUE"""),130)</f>
        <v>130</v>
      </c>
      <c r="S86" s="48">
        <f ca="1">IFERROR(__xludf.DUMMYFUNCTION("""COMPUTED_VALUE"""),868)</f>
        <v>868</v>
      </c>
    </row>
    <row r="87" spans="1:19">
      <c r="A87" s="46" t="str">
        <f ca="1">IFERROR(__xludf.DUMMYFUNCTION("""COMPUTED_VALUE"""),"SUTURAS")</f>
        <v>SUTURAS</v>
      </c>
      <c r="B87" s="46">
        <f ca="1">IFERROR(__xludf.DUMMYFUNCTION("""COMPUTED_VALUE"""),156)</f>
        <v>156</v>
      </c>
      <c r="C87" s="46" t="str">
        <f ca="1">IFERROR(__xludf.DUMMYFUNCTION("""COMPUTED_VALUE"""),"SUTURAS REALIZADAS")</f>
        <v>SUTURAS REALIZADAS</v>
      </c>
      <c r="D87" s="46" t="str">
        <f ca="1">IFERROR(__xludf.DUMMYFUNCTION("""COMPUTED_VALUE"""),"ASCENDENTE")</f>
        <v>ASCENDENTE</v>
      </c>
      <c r="E87" s="46" t="str">
        <f ca="1">IFERROR(__xludf.DUMMYFUNCTION("""COMPUTED_VALUE"""),"BITACORA OPERATIVA")</f>
        <v>BITACORA OPERATIVA</v>
      </c>
      <c r="F87" s="47">
        <f ca="1">IFERROR(__xludf.DUMMYFUNCTION("""COMPUTED_VALUE"""),133.974358974358)</f>
        <v>133.97435897435801</v>
      </c>
      <c r="G87" s="48">
        <f ca="1">IFERROR(__xludf.DUMMYFUNCTION("""COMPUTED_VALUE"""),35)</f>
        <v>35</v>
      </c>
      <c r="H87" s="48">
        <f ca="1">IFERROR(__xludf.DUMMYFUNCTION("""COMPUTED_VALUE"""),30)</f>
        <v>30</v>
      </c>
      <c r="I87" s="48">
        <f ca="1">IFERROR(__xludf.DUMMYFUNCTION("""COMPUTED_VALUE"""),28)</f>
        <v>28</v>
      </c>
      <c r="J87" s="48">
        <f ca="1">IFERROR(__xludf.DUMMYFUNCTION("""COMPUTED_VALUE"""),6)</f>
        <v>6</v>
      </c>
      <c r="K87" s="48">
        <f ca="1">IFERROR(__xludf.DUMMYFUNCTION("""COMPUTED_VALUE"""),7)</f>
        <v>7</v>
      </c>
      <c r="L87" s="48">
        <f ca="1">IFERROR(__xludf.DUMMYFUNCTION("""COMPUTED_VALUE"""),7)</f>
        <v>7</v>
      </c>
      <c r="M87" s="48">
        <f ca="1">IFERROR(__xludf.DUMMYFUNCTION("""COMPUTED_VALUE"""),15)</f>
        <v>15</v>
      </c>
      <c r="N87" s="48">
        <f ca="1">IFERROR(__xludf.DUMMYFUNCTION("""COMPUTED_VALUE"""),16)</f>
        <v>16</v>
      </c>
      <c r="O87" s="48">
        <f ca="1">IFERROR(__xludf.DUMMYFUNCTION("""COMPUTED_VALUE"""),18)</f>
        <v>18</v>
      </c>
      <c r="P87" s="48">
        <f ca="1">IFERROR(__xludf.DUMMYFUNCTION("""COMPUTED_VALUE"""),18)</f>
        <v>18</v>
      </c>
      <c r="Q87" s="48">
        <f ca="1">IFERROR(__xludf.DUMMYFUNCTION("""COMPUTED_VALUE"""),14)</f>
        <v>14</v>
      </c>
      <c r="R87" s="48">
        <f ca="1">IFERROR(__xludf.DUMMYFUNCTION("""COMPUTED_VALUE"""),15)</f>
        <v>15</v>
      </c>
      <c r="S87" s="48">
        <f ca="1">IFERROR(__xludf.DUMMYFUNCTION("""COMPUTED_VALUE"""),209)</f>
        <v>209</v>
      </c>
    </row>
    <row r="88" spans="1:19">
      <c r="A88" s="46" t="str">
        <f ca="1">IFERROR(__xludf.DUMMYFUNCTION("""COMPUTED_VALUE"""),"ATENCIÓN DE LESIONES")</f>
        <v>ATENCIÓN DE LESIONES</v>
      </c>
      <c r="B88" s="46">
        <f ca="1">IFERROR(__xludf.DUMMYFUNCTION("""COMPUTED_VALUE"""),708)</f>
        <v>708</v>
      </c>
      <c r="C88" s="46" t="str">
        <f ca="1">IFERROR(__xludf.DUMMYFUNCTION("""COMPUTED_VALUE"""),"ATENCIONES DE LESIONES BRINDADAS POR SERVICIOS MEDICOS")</f>
        <v>ATENCIONES DE LESIONES BRINDADAS POR SERVICIOS MEDICOS</v>
      </c>
      <c r="D88" s="46" t="str">
        <f ca="1">IFERROR(__xludf.DUMMYFUNCTION("""COMPUTED_VALUE"""),"ASCENDENTE")</f>
        <v>ASCENDENTE</v>
      </c>
      <c r="E88" s="46" t="str">
        <f ca="1">IFERROR(__xludf.DUMMYFUNCTION("""COMPUTED_VALUE"""),"BITACORA OPERATIVA")</f>
        <v>BITACORA OPERATIVA</v>
      </c>
      <c r="F88" s="47">
        <f ca="1">IFERROR(__xludf.DUMMYFUNCTION("""COMPUTED_VALUE"""),116.38418079096)</f>
        <v>116.38418079096</v>
      </c>
      <c r="G88" s="48">
        <f ca="1">IFERROR(__xludf.DUMMYFUNCTION("""COMPUTED_VALUE"""),90)</f>
        <v>90</v>
      </c>
      <c r="H88" s="48">
        <f ca="1">IFERROR(__xludf.DUMMYFUNCTION("""COMPUTED_VALUE"""),80)</f>
        <v>80</v>
      </c>
      <c r="I88" s="48">
        <f ca="1">IFERROR(__xludf.DUMMYFUNCTION("""COMPUTED_VALUE"""),80)</f>
        <v>80</v>
      </c>
      <c r="J88" s="48">
        <f ca="1">IFERROR(__xludf.DUMMYFUNCTION("""COMPUTED_VALUE"""),30)</f>
        <v>30</v>
      </c>
      <c r="K88" s="48">
        <f ca="1">IFERROR(__xludf.DUMMYFUNCTION("""COMPUTED_VALUE"""),25)</f>
        <v>25</v>
      </c>
      <c r="L88" s="48">
        <f ca="1">IFERROR(__xludf.DUMMYFUNCTION("""COMPUTED_VALUE"""),30)</f>
        <v>30</v>
      </c>
      <c r="M88" s="48">
        <f ca="1">IFERROR(__xludf.DUMMYFUNCTION("""COMPUTED_VALUE"""),96)</f>
        <v>96</v>
      </c>
      <c r="N88" s="48">
        <f ca="1">IFERROR(__xludf.DUMMYFUNCTION("""COMPUTED_VALUE"""),73)</f>
        <v>73</v>
      </c>
      <c r="O88" s="48">
        <f ca="1">IFERROR(__xludf.DUMMYFUNCTION("""COMPUTED_VALUE"""),50)</f>
        <v>50</v>
      </c>
      <c r="P88" s="48">
        <f ca="1">IFERROR(__xludf.DUMMYFUNCTION("""COMPUTED_VALUE"""),60)</f>
        <v>60</v>
      </c>
      <c r="Q88" s="48">
        <f ca="1">IFERROR(__xludf.DUMMYFUNCTION("""COMPUTED_VALUE"""),130)</f>
        <v>130</v>
      </c>
      <c r="R88" s="48">
        <f ca="1">IFERROR(__xludf.DUMMYFUNCTION("""COMPUTED_VALUE"""),80)</f>
        <v>80</v>
      </c>
      <c r="S88" s="48">
        <f ca="1">IFERROR(__xludf.DUMMYFUNCTION("""COMPUTED_VALUE"""),824)</f>
        <v>824</v>
      </c>
    </row>
    <row r="89" spans="1:19">
      <c r="A89" s="46" t="str">
        <f ca="1">IFERROR(__xludf.DUMMYFUNCTION("""COMPUTED_VALUE"""),"RETIRO DE PUNTOS DE SUTURA")</f>
        <v>RETIRO DE PUNTOS DE SUTURA</v>
      </c>
      <c r="B89" s="46">
        <f ca="1">IFERROR(__xludf.DUMMYFUNCTION("""COMPUTED_VALUE"""),156)</f>
        <v>156</v>
      </c>
      <c r="C89" s="46" t="str">
        <f ca="1">IFERROR(__xludf.DUMMYFUNCTION("""COMPUTED_VALUE"""),"SUTURAS RETIRADAS")</f>
        <v>SUTURAS RETIRADAS</v>
      </c>
      <c r="D89" s="46" t="str">
        <f ca="1">IFERROR(__xludf.DUMMYFUNCTION("""COMPUTED_VALUE"""),"ASCENDENTE")</f>
        <v>ASCENDENTE</v>
      </c>
      <c r="E89" s="46" t="str">
        <f ca="1">IFERROR(__xludf.DUMMYFUNCTION("""COMPUTED_VALUE"""),"BITACORA OPERATIVA")</f>
        <v>BITACORA OPERATIVA</v>
      </c>
      <c r="F89" s="47">
        <f ca="1">IFERROR(__xludf.DUMMYFUNCTION("""COMPUTED_VALUE"""),138.461538461538)</f>
        <v>138.461538461538</v>
      </c>
      <c r="G89" s="48">
        <f ca="1">IFERROR(__xludf.DUMMYFUNCTION("""COMPUTED_VALUE"""),35)</f>
        <v>35</v>
      </c>
      <c r="H89" s="48">
        <f ca="1">IFERROR(__xludf.DUMMYFUNCTION("""COMPUTED_VALUE"""),30)</f>
        <v>30</v>
      </c>
      <c r="I89" s="48">
        <f ca="1">IFERROR(__xludf.DUMMYFUNCTION("""COMPUTED_VALUE"""),28)</f>
        <v>28</v>
      </c>
      <c r="J89" s="48">
        <f ca="1">IFERROR(__xludf.DUMMYFUNCTION("""COMPUTED_VALUE"""),5)</f>
        <v>5</v>
      </c>
      <c r="K89" s="48">
        <f ca="1">IFERROR(__xludf.DUMMYFUNCTION("""COMPUTED_VALUE"""),7)</f>
        <v>7</v>
      </c>
      <c r="L89" s="48">
        <f ca="1">IFERROR(__xludf.DUMMYFUNCTION("""COMPUTED_VALUE"""),6)</f>
        <v>6</v>
      </c>
      <c r="M89" s="48">
        <f ca="1">IFERROR(__xludf.DUMMYFUNCTION("""COMPUTED_VALUE"""),10)</f>
        <v>10</v>
      </c>
      <c r="N89" s="48">
        <f ca="1">IFERROR(__xludf.DUMMYFUNCTION("""COMPUTED_VALUE"""),15)</f>
        <v>15</v>
      </c>
      <c r="O89" s="48">
        <f ca="1">IFERROR(__xludf.DUMMYFUNCTION("""COMPUTED_VALUE"""),20)</f>
        <v>20</v>
      </c>
      <c r="P89" s="48">
        <f ca="1">IFERROR(__xludf.DUMMYFUNCTION("""COMPUTED_VALUE"""),20)</f>
        <v>20</v>
      </c>
      <c r="Q89" s="48">
        <f ca="1">IFERROR(__xludf.DUMMYFUNCTION("""COMPUTED_VALUE"""),20)</f>
        <v>20</v>
      </c>
      <c r="R89" s="48">
        <f ca="1">IFERROR(__xludf.DUMMYFUNCTION("""COMPUTED_VALUE"""),20)</f>
        <v>20</v>
      </c>
      <c r="S89" s="48">
        <f ca="1">IFERROR(__xludf.DUMMYFUNCTION("""COMPUTED_VALUE"""),216)</f>
        <v>216</v>
      </c>
    </row>
    <row r="90" spans="1:19">
      <c r="A90" s="46" t="str">
        <f ca="1">IFERROR(__xludf.DUMMYFUNCTION("""COMPUTED_VALUE"""),"APLICACIÓN DE MEDICAMENTOS")</f>
        <v>APLICACIÓN DE MEDICAMENTOS</v>
      </c>
      <c r="B90" s="46">
        <f ca="1">IFERROR(__xludf.DUMMYFUNCTION("""COMPUTED_VALUE"""),1750)</f>
        <v>1750</v>
      </c>
      <c r="C90" s="46" t="str">
        <f ca="1">IFERROR(__xludf.DUMMYFUNCTION("""COMPUTED_VALUE"""),"APLICACION DE MEDICAMENTOS REALIZADOS")</f>
        <v>APLICACION DE MEDICAMENTOS REALIZADOS</v>
      </c>
      <c r="D90" s="46" t="str">
        <f ca="1">IFERROR(__xludf.DUMMYFUNCTION("""COMPUTED_VALUE"""),"ASCENDENTE")</f>
        <v>ASCENDENTE</v>
      </c>
      <c r="E90" s="46" t="str">
        <f ca="1">IFERROR(__xludf.DUMMYFUNCTION("""COMPUTED_VALUE"""),"BITACORA OPERATIVA")</f>
        <v>BITACORA OPERATIVA</v>
      </c>
      <c r="F90" s="47">
        <f ca="1">IFERROR(__xludf.DUMMYFUNCTION("""COMPUTED_VALUE"""),89.6571428571428)</f>
        <v>89.657142857142802</v>
      </c>
      <c r="G90" s="48">
        <f ca="1">IFERROR(__xludf.DUMMYFUNCTION("""COMPUTED_VALUE"""),85)</f>
        <v>85</v>
      </c>
      <c r="H90" s="48">
        <f ca="1">IFERROR(__xludf.DUMMYFUNCTION("""COMPUTED_VALUE"""),100)</f>
        <v>100</v>
      </c>
      <c r="I90" s="48">
        <f ca="1">IFERROR(__xludf.DUMMYFUNCTION("""COMPUTED_VALUE"""),120)</f>
        <v>120</v>
      </c>
      <c r="J90" s="48">
        <f ca="1">IFERROR(__xludf.DUMMYFUNCTION("""COMPUTED_VALUE"""),30)</f>
        <v>30</v>
      </c>
      <c r="K90" s="48">
        <f ca="1">IFERROR(__xludf.DUMMYFUNCTION("""COMPUTED_VALUE"""),30)</f>
        <v>30</v>
      </c>
      <c r="L90" s="48">
        <f ca="1">IFERROR(__xludf.DUMMYFUNCTION("""COMPUTED_VALUE"""),35)</f>
        <v>35</v>
      </c>
      <c r="M90" s="48">
        <f ca="1">IFERROR(__xludf.DUMMYFUNCTION("""COMPUTED_VALUE"""),228)</f>
        <v>228</v>
      </c>
      <c r="N90" s="48">
        <f ca="1">IFERROR(__xludf.DUMMYFUNCTION("""COMPUTED_VALUE"""),201)</f>
        <v>201</v>
      </c>
      <c r="O90" s="48">
        <f ca="1">IFERROR(__xludf.DUMMYFUNCTION("""COMPUTED_VALUE"""),174)</f>
        <v>174</v>
      </c>
      <c r="P90" s="48">
        <f ca="1">IFERROR(__xludf.DUMMYFUNCTION("""COMPUTED_VALUE"""),130)</f>
        <v>130</v>
      </c>
      <c r="Q90" s="48">
        <f ca="1">IFERROR(__xludf.DUMMYFUNCTION("""COMPUTED_VALUE"""),231)</f>
        <v>231</v>
      </c>
      <c r="R90" s="48">
        <f ca="1">IFERROR(__xludf.DUMMYFUNCTION("""COMPUTED_VALUE"""),205)</f>
        <v>205</v>
      </c>
      <c r="S90" s="48">
        <f ca="1">IFERROR(__xludf.DUMMYFUNCTION("""COMPUTED_VALUE"""),1569)</f>
        <v>1569</v>
      </c>
    </row>
    <row r="91" spans="1:19">
      <c r="A91" s="46" t="str">
        <f ca="1">IFERROR(__xludf.DUMMYFUNCTION("""COMPUTED_VALUE"""),"APLICACIÓN DE VENDAJE")</f>
        <v>APLICACIÓN DE VENDAJE</v>
      </c>
      <c r="B91" s="46">
        <f ca="1">IFERROR(__xludf.DUMMYFUNCTION("""COMPUTED_VALUE"""),163)</f>
        <v>163</v>
      </c>
      <c r="C91" s="46" t="str">
        <f ca="1">IFERROR(__xludf.DUMMYFUNCTION("""COMPUTED_VALUE"""),"VENDAJES APLICADOS")</f>
        <v>VENDAJES APLICADOS</v>
      </c>
      <c r="D91" s="46" t="str">
        <f ca="1">IFERROR(__xludf.DUMMYFUNCTION("""COMPUTED_VALUE"""),"ASCENDENTE")</f>
        <v>ASCENDENTE</v>
      </c>
      <c r="E91" s="46" t="str">
        <f ca="1">IFERROR(__xludf.DUMMYFUNCTION("""COMPUTED_VALUE"""),"BITACORA OPERATIVA")</f>
        <v>BITACORA OPERATIVA</v>
      </c>
      <c r="F91" s="47">
        <f ca="1">IFERROR(__xludf.DUMMYFUNCTION("""COMPUTED_VALUE"""),178.527607361963)</f>
        <v>178.52760736196299</v>
      </c>
      <c r="G91" s="48">
        <f ca="1">IFERROR(__xludf.DUMMYFUNCTION("""COMPUTED_VALUE"""),34)</f>
        <v>34</v>
      </c>
      <c r="H91" s="48">
        <f ca="1">IFERROR(__xludf.DUMMYFUNCTION("""COMPUTED_VALUE"""),35)</f>
        <v>35</v>
      </c>
      <c r="I91" s="48">
        <f ca="1">IFERROR(__xludf.DUMMYFUNCTION("""COMPUTED_VALUE"""),30)</f>
        <v>30</v>
      </c>
      <c r="J91" s="48">
        <f ca="1">IFERROR(__xludf.DUMMYFUNCTION("""COMPUTED_VALUE"""),7)</f>
        <v>7</v>
      </c>
      <c r="K91" s="48">
        <f ca="1">IFERROR(__xludf.DUMMYFUNCTION("""COMPUTED_VALUE"""),10)</f>
        <v>10</v>
      </c>
      <c r="L91" s="48">
        <f ca="1">IFERROR(__xludf.DUMMYFUNCTION("""COMPUTED_VALUE"""),14)</f>
        <v>14</v>
      </c>
      <c r="M91" s="48">
        <f ca="1">IFERROR(__xludf.DUMMYFUNCTION("""COMPUTED_VALUE"""),25)</f>
        <v>25</v>
      </c>
      <c r="N91" s="48">
        <f ca="1">IFERROR(__xludf.DUMMYFUNCTION("""COMPUTED_VALUE"""),24)</f>
        <v>24</v>
      </c>
      <c r="O91" s="48">
        <f ca="1">IFERROR(__xludf.DUMMYFUNCTION("""COMPUTED_VALUE"""),22)</f>
        <v>22</v>
      </c>
      <c r="P91" s="48">
        <f ca="1">IFERROR(__xludf.DUMMYFUNCTION("""COMPUTED_VALUE"""),25)</f>
        <v>25</v>
      </c>
      <c r="Q91" s="48">
        <f ca="1">IFERROR(__xludf.DUMMYFUNCTION("""COMPUTED_VALUE"""),30)</f>
        <v>30</v>
      </c>
      <c r="R91" s="48">
        <f ca="1">IFERROR(__xludf.DUMMYFUNCTION("""COMPUTED_VALUE"""),35)</f>
        <v>35</v>
      </c>
      <c r="S91" s="48">
        <f ca="1">IFERROR(__xludf.DUMMYFUNCTION("""COMPUTED_VALUE"""),291)</f>
        <v>291</v>
      </c>
    </row>
    <row r="92" spans="1:19">
      <c r="A92" s="46" t="str">
        <f ca="1">IFERROR(__xludf.DUMMYFUNCTION("""COMPUTED_VALUE"""),"APLICACIÓN DE YESO")</f>
        <v>APLICACIÓN DE YESO</v>
      </c>
      <c r="B92" s="46">
        <f ca="1">IFERROR(__xludf.DUMMYFUNCTION("""COMPUTED_VALUE"""),13)</f>
        <v>13</v>
      </c>
      <c r="C92" s="46" t="str">
        <f ca="1">IFERROR(__xludf.DUMMYFUNCTION("""COMPUTED_VALUE"""),"YESO APLICADO")</f>
        <v>YESO APLICADO</v>
      </c>
      <c r="D92" s="46" t="str">
        <f ca="1">IFERROR(__xludf.DUMMYFUNCTION("""COMPUTED_VALUE"""),"ASCENDENTE")</f>
        <v>ASCENDENTE</v>
      </c>
      <c r="E92" s="46" t="str">
        <f ca="1">IFERROR(__xludf.DUMMYFUNCTION("""COMPUTED_VALUE"""),"BITACORA OPERATIVA")</f>
        <v>BITACORA OPERATIVA</v>
      </c>
      <c r="F92" s="47">
        <f ca="1">IFERROR(__xludf.DUMMYFUNCTION("""COMPUTED_VALUE"""),107.692307692307)</f>
        <v>107.692307692307</v>
      </c>
      <c r="G92" s="48">
        <f ca="1">IFERROR(__xludf.DUMMYFUNCTION("""COMPUTED_VALUE"""),0)</f>
        <v>0</v>
      </c>
      <c r="H92" s="48">
        <f ca="1">IFERROR(__xludf.DUMMYFUNCTION("""COMPUTED_VALUE"""),0)</f>
        <v>0</v>
      </c>
      <c r="I92" s="48">
        <f ca="1">IFERROR(__xludf.DUMMYFUNCTION("""COMPUTED_VALUE"""),0)</f>
        <v>0</v>
      </c>
      <c r="J92" s="48">
        <f ca="1">IFERROR(__xludf.DUMMYFUNCTION("""COMPUTED_VALUE"""),2)</f>
        <v>2</v>
      </c>
      <c r="K92" s="48">
        <f ca="1">IFERROR(__xludf.DUMMYFUNCTION("""COMPUTED_VALUE"""),1)</f>
        <v>1</v>
      </c>
      <c r="L92" s="48">
        <f ca="1">IFERROR(__xludf.DUMMYFUNCTION("""COMPUTED_VALUE"""),1)</f>
        <v>1</v>
      </c>
      <c r="M92" s="48">
        <f ca="1">IFERROR(__xludf.DUMMYFUNCTION("""COMPUTED_VALUE"""),1)</f>
        <v>1</v>
      </c>
      <c r="N92" s="48">
        <f ca="1">IFERROR(__xludf.DUMMYFUNCTION("""COMPUTED_VALUE"""),2)</f>
        <v>2</v>
      </c>
      <c r="O92" s="48">
        <f ca="1">IFERROR(__xludf.DUMMYFUNCTION("""COMPUTED_VALUE"""),1)</f>
        <v>1</v>
      </c>
      <c r="P92" s="48">
        <f ca="1">IFERROR(__xludf.DUMMYFUNCTION("""COMPUTED_VALUE"""),2)</f>
        <v>2</v>
      </c>
      <c r="Q92" s="48">
        <f ca="1">IFERROR(__xludf.DUMMYFUNCTION("""COMPUTED_VALUE"""),2)</f>
        <v>2</v>
      </c>
      <c r="R92" s="48">
        <f ca="1">IFERROR(__xludf.DUMMYFUNCTION("""COMPUTED_VALUE"""),2)</f>
        <v>2</v>
      </c>
      <c r="S92" s="48">
        <f ca="1">IFERROR(__xludf.DUMMYFUNCTION("""COMPUTED_VALUE"""),14)</f>
        <v>14</v>
      </c>
    </row>
    <row r="93" spans="1:19">
      <c r="A93" s="46" t="str">
        <f ca="1">IFERROR(__xludf.DUMMYFUNCTION("""COMPUTED_VALUE"""),"TERAPIA DE REHIDRATACIÓN")</f>
        <v>TERAPIA DE REHIDRATACIÓN</v>
      </c>
      <c r="B93" s="46">
        <f ca="1">IFERROR(__xludf.DUMMYFUNCTION("""COMPUTED_VALUE"""),228)</f>
        <v>228</v>
      </c>
      <c r="C93" s="46" t="str">
        <f ca="1">IFERROR(__xludf.DUMMYFUNCTION("""COMPUTED_VALUE"""),"TERAPIAS REALIZADAS")</f>
        <v>TERAPIAS REALIZADAS</v>
      </c>
      <c r="D93" s="46" t="str">
        <f ca="1">IFERROR(__xludf.DUMMYFUNCTION("""COMPUTED_VALUE"""),"ASCENDENTE")</f>
        <v>ASCENDENTE</v>
      </c>
      <c r="E93" s="46" t="str">
        <f ca="1">IFERROR(__xludf.DUMMYFUNCTION("""COMPUTED_VALUE"""),"BITACORA OPERATIVA")</f>
        <v>BITACORA OPERATIVA</v>
      </c>
      <c r="F93" s="47">
        <f ca="1">IFERROR(__xludf.DUMMYFUNCTION("""COMPUTED_VALUE"""),231.578947368421)</f>
        <v>231.57894736842101</v>
      </c>
      <c r="G93" s="48">
        <f ca="1">IFERROR(__xludf.DUMMYFUNCTION("""COMPUTED_VALUE"""),80)</f>
        <v>80</v>
      </c>
      <c r="H93" s="48">
        <f ca="1">IFERROR(__xludf.DUMMYFUNCTION("""COMPUTED_VALUE"""),75)</f>
        <v>75</v>
      </c>
      <c r="I93" s="48">
        <f ca="1">IFERROR(__xludf.DUMMYFUNCTION("""COMPUTED_VALUE"""),85)</f>
        <v>85</v>
      </c>
      <c r="J93" s="48">
        <f ca="1">IFERROR(__xludf.DUMMYFUNCTION("""COMPUTED_VALUE"""),7)</f>
        <v>7</v>
      </c>
      <c r="K93" s="48">
        <f ca="1">IFERROR(__xludf.DUMMYFUNCTION("""COMPUTED_VALUE"""),10)</f>
        <v>10</v>
      </c>
      <c r="L93" s="48">
        <f ca="1">IFERROR(__xludf.DUMMYFUNCTION("""COMPUTED_VALUE"""),9)</f>
        <v>9</v>
      </c>
      <c r="M93" s="48">
        <f ca="1">IFERROR(__xludf.DUMMYFUNCTION("""COMPUTED_VALUE"""),40)</f>
        <v>40</v>
      </c>
      <c r="N93" s="48">
        <f ca="1">IFERROR(__xludf.DUMMYFUNCTION("""COMPUTED_VALUE"""),44)</f>
        <v>44</v>
      </c>
      <c r="O93" s="48">
        <f ca="1">IFERROR(__xludf.DUMMYFUNCTION("""COMPUTED_VALUE"""),48)</f>
        <v>48</v>
      </c>
      <c r="P93" s="48">
        <f ca="1">IFERROR(__xludf.DUMMYFUNCTION("""COMPUTED_VALUE"""),40)</f>
        <v>40</v>
      </c>
      <c r="Q93" s="48">
        <f ca="1">IFERROR(__xludf.DUMMYFUNCTION("""COMPUTED_VALUE"""),45)</f>
        <v>45</v>
      </c>
      <c r="R93" s="48">
        <f ca="1">IFERROR(__xludf.DUMMYFUNCTION("""COMPUTED_VALUE"""),45)</f>
        <v>45</v>
      </c>
      <c r="S93" s="48">
        <f ca="1">IFERROR(__xludf.DUMMYFUNCTION("""COMPUTED_VALUE"""),528)</f>
        <v>528</v>
      </c>
    </row>
    <row r="94" spans="1:19">
      <c r="A94" s="46" t="str">
        <f ca="1">IFERROR(__xludf.DUMMYFUNCTION("""COMPUTED_VALUE"""),"ATENCIONES POR INHALOTERAPIA")</f>
        <v>ATENCIONES POR INHALOTERAPIA</v>
      </c>
      <c r="B94" s="46">
        <f ca="1">IFERROR(__xludf.DUMMYFUNCTION("""COMPUTED_VALUE"""),324)</f>
        <v>324</v>
      </c>
      <c r="C94" s="46" t="str">
        <f ca="1">IFERROR(__xludf.DUMMYFUNCTION("""COMPUTED_VALUE"""),"ATENCIONES")</f>
        <v>ATENCIONES</v>
      </c>
      <c r="D94" s="46" t="str">
        <f ca="1">IFERROR(__xludf.DUMMYFUNCTION("""COMPUTED_VALUE"""),"ASCENDENTE")</f>
        <v>ASCENDENTE</v>
      </c>
      <c r="E94" s="46" t="str">
        <f ca="1">IFERROR(__xludf.DUMMYFUNCTION("""COMPUTED_VALUE"""),"BITACORA OPERATIVA")</f>
        <v>BITACORA OPERATIVA</v>
      </c>
      <c r="F94" s="47">
        <f ca="1">IFERROR(__xludf.DUMMYFUNCTION("""COMPUTED_VALUE"""),183.333333333333)</f>
        <v>183.333333333333</v>
      </c>
      <c r="G94" s="48">
        <f ca="1">IFERROR(__xludf.DUMMYFUNCTION("""COMPUTED_VALUE"""),80)</f>
        <v>80</v>
      </c>
      <c r="H94" s="48">
        <f ca="1">IFERROR(__xludf.DUMMYFUNCTION("""COMPUTED_VALUE"""),120)</f>
        <v>120</v>
      </c>
      <c r="I94" s="48">
        <f ca="1">IFERROR(__xludf.DUMMYFUNCTION("""COMPUTED_VALUE"""),220)</f>
        <v>220</v>
      </c>
      <c r="J94" s="48">
        <f ca="1">IFERROR(__xludf.DUMMYFUNCTION("""COMPUTED_VALUE"""),30)</f>
        <v>30</v>
      </c>
      <c r="K94" s="48">
        <f ca="1">IFERROR(__xludf.DUMMYFUNCTION("""COMPUTED_VALUE"""),30)</f>
        <v>30</v>
      </c>
      <c r="L94" s="48">
        <f ca="1">IFERROR(__xludf.DUMMYFUNCTION("""COMPUTED_VALUE"""),25)</f>
        <v>25</v>
      </c>
      <c r="M94" s="48">
        <f ca="1">IFERROR(__xludf.DUMMYFUNCTION("""COMPUTED_VALUE"""),31)</f>
        <v>31</v>
      </c>
      <c r="N94" s="48">
        <f ca="1">IFERROR(__xludf.DUMMYFUNCTION("""COMPUTED_VALUE"""),22)</f>
        <v>22</v>
      </c>
      <c r="O94" s="48">
        <f ca="1">IFERROR(__xludf.DUMMYFUNCTION("""COMPUTED_VALUE"""),12)</f>
        <v>12</v>
      </c>
      <c r="P94" s="48">
        <f ca="1">IFERROR(__xludf.DUMMYFUNCTION("""COMPUTED_VALUE"""),8)</f>
        <v>8</v>
      </c>
      <c r="Q94" s="48">
        <f ca="1">IFERROR(__xludf.DUMMYFUNCTION("""COMPUTED_VALUE"""),8)</f>
        <v>8</v>
      </c>
      <c r="R94" s="48">
        <f ca="1">IFERROR(__xludf.DUMMYFUNCTION("""COMPUTED_VALUE"""),8)</f>
        <v>8</v>
      </c>
      <c r="S94" s="48">
        <f ca="1">IFERROR(__xludf.DUMMYFUNCTION("""COMPUTED_VALUE"""),594)</f>
        <v>594</v>
      </c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S94"/>
  <sheetViews>
    <sheetView workbookViewId="0"/>
  </sheetViews>
  <sheetFormatPr baseColWidth="10" defaultColWidth="11.1640625" defaultRowHeight="15" customHeight="1"/>
  <cols>
    <col min="1" max="1" width="29" customWidth="1"/>
  </cols>
  <sheetData>
    <row r="1" spans="1:19">
      <c r="A1" s="46" t="str">
        <f ca="1">IFERROR(__xludf.DUMMYFUNCTION("IMPORTRANGE(""https://docs.google.com/spreadsheets/d/1nl62gOYabBi8M9K4sAWzHs9aK0yg7okEE97_ISjk4YI/edit?gid=1892909280#gid=1892909280"",""02!A1:S"")"),"INDICADORES")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IFERROR(__xludf.DUMMYFUNCTION("""COMPUTED_VALUE"""),"PROCESOS DE LICITACION")</f>
        <v>PROCESOS DE LICITACION</v>
      </c>
      <c r="B2" s="46">
        <f ca="1">IFERROR(__xludf.DUMMYFUNCTION("""COMPUTED_VALUE"""),1)</f>
        <v>1</v>
      </c>
      <c r="C2" s="46"/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IFERROR(__xludf.DUMMYFUNCTION("""COMPUTED_VALUE"""),0)</f>
        <v>0</v>
      </c>
      <c r="G2" s="48">
        <f ca="1">IFERROR(__xludf.DUMMYFUNCTION("""COMPUTED_VALUE"""),1)</f>
        <v>1</v>
      </c>
      <c r="H2" s="48">
        <f ca="1">IFERROR(__xludf.DUMMYFUNCTION("""COMPUTED_VALUE"""),3)</f>
        <v>3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IFERROR(__xludf.DUMMYFUNCTION("""COMPUTED_VALUE"""),4)</f>
        <v>4</v>
      </c>
    </row>
    <row r="3" spans="1:19">
      <c r="A3" s="46" t="str">
        <f ca="1">IFERROR(__xludf.DUMMYFUNCTION("""COMPUTED_VALUE"""),"ADJUDICACIONES DIRECTAS")</f>
        <v>ADJUDICACIONES DIRECTAS</v>
      </c>
      <c r="B3" s="46">
        <f ca="1">IFERROR(__xludf.DUMMYFUNCTION("""COMPUTED_VALUE"""),1)</f>
        <v>1</v>
      </c>
      <c r="C3" s="46"/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IFERROR(__xludf.DUMMYFUNCTION("""COMPUTED_VALUE"""),0)</f>
        <v>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IFERROR(__xludf.DUMMYFUNCTION("""COMPUTED_VALUE"""),0)</f>
        <v>0</v>
      </c>
    </row>
    <row r="4" spans="1:19">
      <c r="A4" s="46" t="str">
        <f ca="1">IFERROR(__xludf.DUMMYFUNCTION("""COMPUTED_VALUE"""),"REQUISICIONES SURTIDAS")</f>
        <v>REQUISICIONES SURTIDAS</v>
      </c>
      <c r="B4" s="46">
        <f ca="1">IFERROR(__xludf.DUMMYFUNCTION("""COMPUTED_VALUE"""),1)</f>
        <v>1</v>
      </c>
      <c r="C4" s="46"/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IFERROR(__xludf.DUMMYFUNCTION("""COMPUTED_VALUE"""),0)</f>
        <v>0</v>
      </c>
      <c r="G4" s="48">
        <f ca="1">IFERROR(__xludf.DUMMYFUNCTION("""COMPUTED_VALUE"""),624)</f>
        <v>624</v>
      </c>
      <c r="H4" s="48">
        <f ca="1">IFERROR(__xludf.DUMMYFUNCTION("""COMPUTED_VALUE"""),494)</f>
        <v>494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IFERROR(__xludf.DUMMYFUNCTION("""COMPUTED_VALUE"""),1118)</f>
        <v>1118</v>
      </c>
    </row>
    <row r="5" spans="1:19">
      <c r="A5" s="46" t="str">
        <f ca="1">IFERROR(__xludf.DUMMYFUNCTION("""COMPUTED_VALUE"""),"VALES DE ALMACEN SURTIDOS")</f>
        <v>VALES DE ALMACEN SURTIDOS</v>
      </c>
      <c r="B5" s="46">
        <f ca="1">IFERROR(__xludf.DUMMYFUNCTION("""COMPUTED_VALUE"""),1)</f>
        <v>1</v>
      </c>
      <c r="C5" s="46"/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IFERROR(__xludf.DUMMYFUNCTION("""COMPUTED_VALUE"""),0)</f>
        <v>0</v>
      </c>
      <c r="G5" s="48">
        <f ca="1">IFERROR(__xludf.DUMMYFUNCTION("""COMPUTED_VALUE"""),137)</f>
        <v>137</v>
      </c>
      <c r="H5" s="48">
        <f ca="1">IFERROR(__xludf.DUMMYFUNCTION("""COMPUTED_VALUE"""),110)</f>
        <v>110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IFERROR(__xludf.DUMMYFUNCTION("""COMPUTED_VALUE"""),247)</f>
        <v>247</v>
      </c>
    </row>
    <row r="6" spans="1:19">
      <c r="A6" s="46" t="str">
        <f ca="1">IFERROR(__xludf.DUMMYFUNCTION("""COMPUTED_VALUE"""),"AUTOMOVILES")</f>
        <v>AUTOMOVILES</v>
      </c>
      <c r="B6" s="46">
        <f ca="1">IFERROR(__xludf.DUMMYFUNCTION("""COMPUTED_VALUE"""),1)</f>
        <v>1</v>
      </c>
      <c r="C6" s="46"/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IFERROR(__xludf.DUMMYFUNCTION("""COMPUTED_VALUE"""),0)</f>
        <v>0</v>
      </c>
      <c r="G6" s="48">
        <f ca="1">IFERROR(__xludf.DUMMYFUNCTION("""COMPUTED_VALUE"""),1)</f>
        <v>1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IFERROR(__xludf.DUMMYFUNCTION("""COMPUTED_VALUE"""),1)</f>
        <v>1</v>
      </c>
    </row>
    <row r="7" spans="1:19">
      <c r="A7" s="46" t="str">
        <f ca="1">IFERROR(__xludf.DUMMYFUNCTION("""COMPUTED_VALUE"""),"CAMIONETAS PICK UP")</f>
        <v>CAMIONETAS PICK UP</v>
      </c>
      <c r="B7" s="46">
        <f ca="1">IFERROR(__xludf.DUMMYFUNCTION("""COMPUTED_VALUE"""),1)</f>
        <v>1</v>
      </c>
      <c r="C7" s="46"/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IFERROR(__xludf.DUMMYFUNCTION("""COMPUTED_VALUE"""),0)</f>
        <v>0</v>
      </c>
      <c r="G7" s="48">
        <f ca="1">IFERROR(__xludf.DUMMYFUNCTION("""COMPUTED_VALUE"""),0)</f>
        <v>0</v>
      </c>
      <c r="H7" s="48">
        <f ca="1">IFERROR(__xludf.DUMMYFUNCTION("""COMPUTED_VALUE"""),1)</f>
        <v>1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IFERROR(__xludf.DUMMYFUNCTION("""COMPUTED_VALUE"""),1)</f>
        <v>1</v>
      </c>
    </row>
    <row r="8" spans="1:19">
      <c r="A8" s="46" t="str">
        <f ca="1">IFERROR(__xludf.DUMMYFUNCTION("""COMPUTED_VALUE"""),"MOTOCICLETAS")</f>
        <v>MOTOCICLETAS</v>
      </c>
      <c r="B8" s="46">
        <f ca="1">IFERROR(__xludf.DUMMYFUNCTION("""COMPUTED_VALUE"""),1)</f>
        <v>1</v>
      </c>
      <c r="C8" s="46"/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IFERROR(__xludf.DUMMYFUNCTION("""COMPUTED_VALUE"""),"CAMIONETAS DE CARGA LIVIANA")</f>
        <v>CAMIONETAS DE CARGA LIVIANA</v>
      </c>
      <c r="B9" s="46">
        <f ca="1">IFERROR(__xludf.DUMMYFUNCTION("""COMPUTED_VALUE"""),1)</f>
        <v>1</v>
      </c>
      <c r="C9" s="46"/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IFERROR(__xludf.DUMMYFUNCTION("""COMPUTED_VALUE"""),"CAMIONES DE CARGA")</f>
        <v>CAMIONES DE CARGA</v>
      </c>
      <c r="B10" s="46">
        <f ca="1">IFERROR(__xludf.DUMMYFUNCTION("""COMPUTED_VALUE"""),1)</f>
        <v>1</v>
      </c>
      <c r="C10" s="46"/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IFERROR(__xludf.DUMMYFUNCTION("""COMPUTED_VALUE"""),10)</f>
        <v>10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IFERROR(__xludf.DUMMYFUNCTION("""COMPUTED_VALUE"""),10)</f>
        <v>10</v>
      </c>
    </row>
    <row r="11" spans="1:19">
      <c r="A11" s="46" t="str">
        <f ca="1">IFERROR(__xludf.DUMMYFUNCTION("""COMPUTED_VALUE"""),"CAMIONES DE PASAJEROS")</f>
        <v>CAMIONES DE PASAJEROS</v>
      </c>
      <c r="B11" s="46">
        <f ca="1">IFERROR(__xludf.DUMMYFUNCTION("""COMPUTED_VALUE"""),1)</f>
        <v>1</v>
      </c>
      <c r="C11" s="46"/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IFERROR(__xludf.DUMMYFUNCTION("""COMPUTED_VALUE"""),0)</f>
        <v>0</v>
      </c>
      <c r="G11" s="48">
        <f ca="1">IFERROR(__xludf.DUMMYFUNCTION("""COMPUTED_VALUE"""),2)</f>
        <v>2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IFERROR(__xludf.DUMMYFUNCTION("""COMPUTED_VALUE"""),2)</f>
        <v>2</v>
      </c>
    </row>
    <row r="12" spans="1:19">
      <c r="A12" s="46" t="str">
        <f ca="1">IFERROR(__xludf.DUMMYFUNCTION("""COMPUTED_VALUE"""),"MAQUINARIA PESADA")</f>
        <v>MAQUINARIA PESADA</v>
      </c>
      <c r="B12" s="46">
        <f ca="1">IFERROR(__xludf.DUMMYFUNCTION("""COMPUTED_VALUE"""),1)</f>
        <v>1</v>
      </c>
      <c r="C12" s="46"/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IFERROR(__xludf.DUMMYFUNCTION("""COMPUTED_VALUE"""),"DESINCORPORACIÓN DE VEHÍCULOS DEL PARQUE VEHICULAR")</f>
        <v>DESINCORPORACIÓN DE VEHÍCULOS DEL PARQUE VEHICULAR</v>
      </c>
      <c r="B13" s="46">
        <f ca="1">IFERROR(__xludf.DUMMYFUNCTION("""COMPUTED_VALUE"""),1)</f>
        <v>1</v>
      </c>
      <c r="C13" s="46"/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IFERROR(__xludf.DUMMYFUNCTION("""COMPUTED_VALUE"""),"RESGUARDOS DE VEHICULOS")</f>
        <v>RESGUARDOS DE VEHICULOS</v>
      </c>
      <c r="B14" s="46">
        <f ca="1">IFERROR(__xludf.DUMMYFUNCTION("""COMPUTED_VALUE"""),1)</f>
        <v>1</v>
      </c>
      <c r="C14" s="46"/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IFERROR(__xludf.DUMMYFUNCTION("""COMPUTED_VALUE"""),3)</f>
        <v>3</v>
      </c>
      <c r="H14" s="48">
        <f ca="1">IFERROR(__xludf.DUMMYFUNCTION("""COMPUTED_VALUE"""),2)</f>
        <v>2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IFERROR(__xludf.DUMMYFUNCTION("""COMPUTED_VALUE"""),5)</f>
        <v>5</v>
      </c>
    </row>
    <row r="15" spans="1:19">
      <c r="A15" s="46" t="str">
        <f ca="1">IFERROR(__xludf.DUMMYFUNCTION("""COMPUTED_VALUE"""),"REFRENDOS ANUALES")</f>
        <v>REFRENDOS ANUALES</v>
      </c>
      <c r="B15" s="46">
        <f ca="1">IFERROR(__xludf.DUMMYFUNCTION("""COMPUTED_VALUE"""),1)</f>
        <v>1</v>
      </c>
      <c r="C15" s="46"/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IFERROR(__xludf.DUMMYFUNCTION("""COMPUTED_VALUE"""),"CONTROL Y PAGO DE INFRACCIONES")</f>
        <v>CONTROL Y PAGO DE INFRACCIONES</v>
      </c>
      <c r="B16" s="46">
        <f ca="1">IFERROR(__xludf.DUMMYFUNCTION("""COMPUTED_VALUE"""),1)</f>
        <v>1</v>
      </c>
      <c r="C16" s="46"/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IFERROR(__xludf.DUMMYFUNCTION("""COMPUTED_VALUE"""),"POLIZAS DE SEGURO")</f>
        <v>POLIZAS DE SEGURO</v>
      </c>
      <c r="B17" s="46">
        <f ca="1">IFERROR(__xludf.DUMMYFUNCTION("""COMPUTED_VALUE"""),1)</f>
        <v>1</v>
      </c>
      <c r="C17" s="46"/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IFERROR(__xludf.DUMMYFUNCTION("""COMPUTED_VALUE"""),0)</f>
        <v>0</v>
      </c>
      <c r="G17" s="48">
        <f ca="1">IFERROR(__xludf.DUMMYFUNCTION("""COMPUTED_VALUE"""),1)</f>
        <v>1</v>
      </c>
      <c r="H17" s="48">
        <f ca="1">IFERROR(__xludf.DUMMYFUNCTION("""COMPUTED_VALUE"""),3)</f>
        <v>3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IFERROR(__xludf.DUMMYFUNCTION("""COMPUTED_VALUE"""),4)</f>
        <v>4</v>
      </c>
    </row>
    <row r="18" spans="1:19">
      <c r="A18" s="46" t="str">
        <f ca="1">IFERROR(__xludf.DUMMYFUNCTION("""COMPUTED_VALUE"""),"INVENTARIO DE BIENES MUEBLES")</f>
        <v>INVENTARIO DE BIENES MUEBLES</v>
      </c>
      <c r="B18" s="46">
        <f ca="1">IFERROR(__xludf.DUMMYFUNCTION("""COMPUTED_VALUE"""),1)</f>
        <v>1</v>
      </c>
      <c r="C18" s="46"/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IFERROR(__xludf.DUMMYFUNCTION("""COMPUTED_VALUE"""),"DESINCORPORACIÓN DE BIENES MUEBLES")</f>
        <v>DESINCORPORACIÓN DE BIENES MUEBLES</v>
      </c>
      <c r="B19" s="46">
        <f ca="1">IFERROR(__xludf.DUMMYFUNCTION("""COMPUTED_VALUE"""),1)</f>
        <v>1</v>
      </c>
      <c r="C19" s="46"/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 t="str">
        <f ca="1">IFERROR(__xludf.DUMMYFUNCTION("""COMPUTED_VALUE"""),"INVENTARIO DE BIENES INMUEBLES")</f>
        <v>INVENTARIO DE BIENES INMUEBLES</v>
      </c>
      <c r="B20" s="46">
        <f ca="1">IFERROR(__xludf.DUMMYFUNCTION("""COMPUTED_VALUE"""),1)</f>
        <v>1</v>
      </c>
      <c r="C20" s="46"/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IFERROR(__xludf.DUMMYFUNCTION("""COMPUTED_VALUE"""),0)</f>
        <v>0</v>
      </c>
      <c r="G20" s="48">
        <f ca="1">IFERROR(__xludf.DUMMYFUNCTION("""COMPUTED_VALUE"""),0)</f>
        <v>0</v>
      </c>
      <c r="H20" s="48">
        <f ca="1">IFERROR(__xludf.DUMMYFUNCTION("""COMPUTED_VALUE"""),4)</f>
        <v>4</v>
      </c>
      <c r="I20" s="48">
        <f ca="1">IFERROR(__xludf.DUMMYFUNCTION("""COMPUTED_VALUE"""),0)</f>
        <v>0</v>
      </c>
      <c r="J20" s="48">
        <f ca="1">IFERROR(__xludf.DUMMYFUNCTION("""COMPUTED_VALUE"""),0)</f>
        <v>0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IFERROR(__xludf.DUMMYFUNCTION("""COMPUTED_VALUE"""),4)</f>
        <v>4</v>
      </c>
    </row>
    <row r="21" spans="1:19">
      <c r="A21" s="46" t="str">
        <f ca="1">IFERROR(__xludf.DUMMYFUNCTION("""COMPUTED_VALUE"""),"DESINCORPORACIÓN DE BIENES  INMUEBLES")</f>
        <v>DESINCORPORACIÓN DE BIENES  INMUEBLES</v>
      </c>
      <c r="B21" s="46">
        <f ca="1">IFERROR(__xludf.DUMMYFUNCTION("""COMPUTED_VALUE"""),1)</f>
        <v>1</v>
      </c>
      <c r="C21" s="46"/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IFERROR(__xludf.DUMMYFUNCTION("""COMPUTED_VALUE"""),0)</f>
        <v>0</v>
      </c>
      <c r="G21" s="48">
        <f ca="1">IFERROR(__xludf.DUMMYFUNCTION("""COMPUTED_VALUE"""),0)</f>
        <v>0</v>
      </c>
      <c r="H21" s="48">
        <f ca="1">IFERROR(__xludf.DUMMYFUNCTION("""COMPUTED_VALUE"""),0)</f>
        <v>0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IFERROR(__xludf.DUMMYFUNCTION("""COMPUTED_VALUE"""),0)</f>
        <v>0</v>
      </c>
    </row>
    <row r="22" spans="1:19">
      <c r="A22" s="46" t="str">
        <f ca="1">IFERROR(__xludf.DUMMYFUNCTION("""COMPUTED_VALUE"""),"VERIFICACION DE VEHICULOS")</f>
        <v>VERIFICACION DE VEHICULOS</v>
      </c>
      <c r="B22" s="46">
        <f ca="1">IFERROR(__xludf.DUMMYFUNCTION("""COMPUTED_VALUE"""),1)</f>
        <v>1</v>
      </c>
      <c r="C22" s="46"/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IFERROR(__xludf.DUMMYFUNCTION("""COMPUTED_VALUE"""),0)</f>
        <v>0</v>
      </c>
      <c r="G22" s="48">
        <f ca="1">IFERROR(__xludf.DUMMYFUNCTION("""COMPUTED_VALUE"""),2)</f>
        <v>2</v>
      </c>
      <c r="H22" s="48">
        <f ca="1">IFERROR(__xludf.DUMMYFUNCTION("""COMPUTED_VALUE"""),5)</f>
        <v>5</v>
      </c>
      <c r="I22" s="48">
        <f ca="1">IFERROR(__xludf.DUMMYFUNCTION("""COMPUTED_VALUE"""),0)</f>
        <v>0</v>
      </c>
      <c r="J22" s="48">
        <f ca="1">IFERROR(__xludf.DUMMYFUNCTION("""COMPUTED_VALUE"""),0)</f>
        <v>0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IFERROR(__xludf.DUMMYFUNCTION("""COMPUTED_VALUE"""),0)</f>
        <v>0</v>
      </c>
      <c r="N22" s="48">
        <f ca="1">IFERROR(__xludf.DUMMYFUNCTION("""COMPUTED_VALUE"""),0)</f>
        <v>0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IFERROR(__xludf.DUMMYFUNCTION("""COMPUTED_VALUE"""),7)</f>
        <v>7</v>
      </c>
    </row>
    <row r="23" spans="1:19">
      <c r="A23" s="46" t="str">
        <f ca="1">IFERROR(__xludf.DUMMYFUNCTION("""COMPUTED_VALUE"""),"RADIOS DE COMUNICACIÓN ")</f>
        <v xml:space="preserve">RADIOS DE COMUNICACIÓN </v>
      </c>
      <c r="B23" s="46">
        <f ca="1">IFERROR(__xludf.DUMMYFUNCTION("""COMPUTED_VALUE"""),1)</f>
        <v>1</v>
      </c>
      <c r="C23" s="46"/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IFERROR(__xludf.DUMMYFUNCTION("""COMPUTED_VALUE"""),0)</f>
        <v>0</v>
      </c>
      <c r="G23" s="48">
        <f ca="1">IFERROR(__xludf.DUMMYFUNCTION("""COMPUTED_VALUE"""),0)</f>
        <v>0</v>
      </c>
      <c r="H23" s="48">
        <f ca="1">IFERROR(__xludf.DUMMYFUNCTION("""COMPUTED_VALUE"""),11)</f>
        <v>11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IFERROR(__xludf.DUMMYFUNCTION("""COMPUTED_VALUE"""),0)</f>
        <v>0</v>
      </c>
      <c r="N23" s="48">
        <f ca="1">IFERROR(__xludf.DUMMYFUNCTION("""COMPUTED_VALUE"""),0)</f>
        <v>0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IFERROR(__xludf.DUMMYFUNCTION("""COMPUTED_VALUE"""),0)</f>
        <v>0</v>
      </c>
      <c r="S23" s="48">
        <f ca="1">IFERROR(__xludf.DUMMYFUNCTION("""COMPUTED_VALUE"""),11)</f>
        <v>11</v>
      </c>
    </row>
    <row r="24" spans="1:19">
      <c r="A24" s="46" t="str">
        <f ca="1">IFERROR(__xludf.DUMMYFUNCTION("""COMPUTED_VALUE"""),"TELEFONOS MOVILES ")</f>
        <v xml:space="preserve">TELEFONOS MOVILES </v>
      </c>
      <c r="B24" s="46">
        <f ca="1">IFERROR(__xludf.DUMMYFUNCTION("""COMPUTED_VALUE"""),1)</f>
        <v>1</v>
      </c>
      <c r="C24" s="46"/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IFERROR(__xludf.DUMMYFUNCTION("""COMPUTED_VALUE"""),0)</f>
        <v>0</v>
      </c>
      <c r="G24" s="48">
        <f ca="1">IFERROR(__xludf.DUMMYFUNCTION("""COMPUTED_VALUE"""),5)</f>
        <v>5</v>
      </c>
      <c r="H24" s="48">
        <f ca="1">IFERROR(__xludf.DUMMYFUNCTION("""COMPUTED_VALUE"""),0)</f>
        <v>0</v>
      </c>
      <c r="I24" s="48">
        <f ca="1">IFERROR(__xludf.DUMMYFUNCTION("""COMPUTED_VALUE"""),0)</f>
        <v>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IFERROR(__xludf.DUMMYFUNCTION("""COMPUTED_VALUE"""),0)</f>
        <v>0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IFERROR(__xludf.DUMMYFUNCTION("""COMPUTED_VALUE"""),5)</f>
        <v>5</v>
      </c>
    </row>
    <row r="25" spans="1:19">
      <c r="A25" s="46" t="str">
        <f ca="1">IFERROR(__xludf.DUMMYFUNCTION("""COMPUTED_VALUE"""),"TOTAL DE PLANTILLA DE PERSONAL")</f>
        <v>TOTAL DE PLANTILLA DE PERSONAL</v>
      </c>
      <c r="B25" s="46">
        <f ca="1">IFERROR(__xludf.DUMMYFUNCTION("""COMPUTED_VALUE"""),1)</f>
        <v>1</v>
      </c>
      <c r="C25" s="46"/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IFERROR(__xludf.DUMMYFUNCTION("""COMPUTED_VALUE"""),0)</f>
        <v>0</v>
      </c>
      <c r="G25" s="48">
        <f ca="1">IFERROR(__xludf.DUMMYFUNCTION("""COMPUTED_VALUE"""),0)</f>
        <v>0</v>
      </c>
      <c r="H25" s="48">
        <f ca="1">IFERROR(__xludf.DUMMYFUNCTION("""COMPUTED_VALUE"""),0)</f>
        <v>0</v>
      </c>
      <c r="I25" s="48">
        <f ca="1">IFERROR(__xludf.DUMMYFUNCTION("""COMPUTED_VALUE"""),0)</f>
        <v>0</v>
      </c>
      <c r="J25" s="48">
        <f ca="1">IFERROR(__xludf.DUMMYFUNCTION("""COMPUTED_VALUE"""),0)</f>
        <v>0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IFERROR(__xludf.DUMMYFUNCTION("""COMPUTED_VALUE"""),0)</f>
        <v>0</v>
      </c>
    </row>
    <row r="26" spans="1:19">
      <c r="A26" s="46" t="str">
        <f ca="1">IFERROR(__xludf.DUMMYFUNCTION("""COMPUTED_VALUE"""),"HOMBRES")</f>
        <v>HOMBRES</v>
      </c>
      <c r="B26" s="46">
        <f ca="1">IFERROR(__xludf.DUMMYFUNCTION("""COMPUTED_VALUE"""),1)</f>
        <v>1</v>
      </c>
      <c r="C26" s="46"/>
      <c r="D26" s="46" t="str">
        <f ca="1">IFERROR(__xludf.DUMMYFUNCTION("""COMPUTED_VALUE"""),"ASCENDENTE")</f>
        <v>ASCENDENTE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IFERROR(__xludf.DUMMYFUNCTION("""COMPUTED_VALUE"""),0)</f>
        <v>0</v>
      </c>
      <c r="G26" s="48">
        <f ca="1">IFERROR(__xludf.DUMMYFUNCTION("""COMPUTED_VALUE"""),0)</f>
        <v>0</v>
      </c>
      <c r="H26" s="48">
        <f ca="1">IFERROR(__xludf.DUMMYFUNCTION("""COMPUTED_VALUE"""),0)</f>
        <v>0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IFERROR(__xludf.DUMMYFUNCTION("""COMPUTED_VALUE"""),0)</f>
        <v>0</v>
      </c>
      <c r="L26" s="48">
        <f ca="1">IFERROR(__xludf.DUMMYFUNCTION("""COMPUTED_VALUE"""),0)</f>
        <v>0</v>
      </c>
      <c r="M26" s="48">
        <f ca="1">IFERROR(__xludf.DUMMYFUNCTION("""COMPUTED_VALUE"""),0)</f>
        <v>0</v>
      </c>
      <c r="N26" s="48">
        <f ca="1">IFERROR(__xludf.DUMMYFUNCTION("""COMPUTED_VALUE"""),0)</f>
        <v>0</v>
      </c>
      <c r="O26" s="48">
        <f ca="1">IFERROR(__xludf.DUMMYFUNCTION("""COMPUTED_VALUE"""),0)</f>
        <v>0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IFERROR(__xludf.DUMMYFUNCTION("""COMPUTED_VALUE"""),0)</f>
        <v>0</v>
      </c>
    </row>
    <row r="27" spans="1:19">
      <c r="A27" s="46" t="str">
        <f ca="1">IFERROR(__xludf.DUMMYFUNCTION("""COMPUTED_VALUE"""),"MUJERES")</f>
        <v>MUJERES</v>
      </c>
      <c r="B27" s="46">
        <f ca="1">IFERROR(__xludf.DUMMYFUNCTION("""COMPUTED_VALUE"""),1)</f>
        <v>1</v>
      </c>
      <c r="C27" s="46"/>
      <c r="D27" s="46" t="str">
        <f ca="1">IFERROR(__xludf.DUMMYFUNCTION("""COMPUTED_VALUE"""),"ASCENDENTE")</f>
        <v>ASCENDENTE</v>
      </c>
      <c r="E27" s="46" t="str">
        <f ca="1">IFERROR(__xludf.DUMMYFUNCTION("""COMPUTED_VALUE"""),"BITACORA OPERATIVA")</f>
        <v>BITACORA OPERATIVA</v>
      </c>
      <c r="F27" s="47">
        <f ca="1">IFERROR(__xludf.DUMMYFUNCTION("""COMPUTED_VALUE"""),0)</f>
        <v>0</v>
      </c>
      <c r="G27" s="48">
        <f ca="1">IFERROR(__xludf.DUMMYFUNCTION("""COMPUTED_VALUE"""),0)</f>
        <v>0</v>
      </c>
      <c r="H27" s="48">
        <f ca="1">IFERROR(__xludf.DUMMYFUNCTION("""COMPUTED_VALUE"""),0)</f>
        <v>0</v>
      </c>
      <c r="I27" s="48">
        <f ca="1">IFERROR(__xludf.DUMMYFUNCTION("""COMPUTED_VALUE"""),0)</f>
        <v>0</v>
      </c>
      <c r="J27" s="48">
        <f ca="1">IFERROR(__xludf.DUMMYFUNCTION("""COMPUTED_VALUE"""),0)</f>
        <v>0</v>
      </c>
      <c r="K27" s="48">
        <f ca="1">IFERROR(__xludf.DUMMYFUNCTION("""COMPUTED_VALUE"""),0)</f>
        <v>0</v>
      </c>
      <c r="L27" s="48">
        <f ca="1">IFERROR(__xludf.DUMMYFUNCTION("""COMPUTED_VALUE"""),0)</f>
        <v>0</v>
      </c>
      <c r="M27" s="48">
        <f ca="1">IFERROR(__xludf.DUMMYFUNCTION("""COMPUTED_VALUE"""),0)</f>
        <v>0</v>
      </c>
      <c r="N27" s="48">
        <f ca="1">IFERROR(__xludf.DUMMYFUNCTION("""COMPUTED_VALUE"""),0)</f>
        <v>0</v>
      </c>
      <c r="O27" s="48">
        <f ca="1">IFERROR(__xludf.DUMMYFUNCTION("""COMPUTED_VALUE"""),0)</f>
        <v>0</v>
      </c>
      <c r="P27" s="48">
        <f ca="1">IFERROR(__xludf.DUMMYFUNCTION("""COMPUTED_VALUE"""),0)</f>
        <v>0</v>
      </c>
      <c r="Q27" s="48">
        <f ca="1">IFERROR(__xludf.DUMMYFUNCTION("""COMPUTED_VALUE"""),0)</f>
        <v>0</v>
      </c>
      <c r="R27" s="48">
        <f ca="1">IFERROR(__xludf.DUMMYFUNCTION("""COMPUTED_VALUE"""),0)</f>
        <v>0</v>
      </c>
      <c r="S27" s="48">
        <f ca="1">IFERROR(__xludf.DUMMYFUNCTION("""COMPUTED_VALUE"""),0)</f>
        <v>0</v>
      </c>
    </row>
    <row r="28" spans="1:19">
      <c r="A28" s="46" t="str">
        <f ca="1">IFERROR(__xludf.DUMMYFUNCTION("""COMPUTED_VALUE"""),"ALTAS DE PERSONAL")</f>
        <v>ALTAS DE PERSONAL</v>
      </c>
      <c r="B28" s="46">
        <f ca="1">IFERROR(__xludf.DUMMYFUNCTION("""COMPUTED_VALUE"""),1)</f>
        <v>1</v>
      </c>
      <c r="C28" s="46"/>
      <c r="D28" s="46" t="str">
        <f ca="1">IFERROR(__xludf.DUMMYFUNCTION("""COMPUTED_VALUE"""),"ASCENDENTE")</f>
        <v>ASCENDENTE</v>
      </c>
      <c r="E28" s="46" t="str">
        <f ca="1">IFERROR(__xludf.DUMMYFUNCTION("""COMPUTED_VALUE"""),"BITACORA OPERATIVA")</f>
        <v>BITACORA OPERATIVA</v>
      </c>
      <c r="F28" s="47">
        <f ca="1">IFERROR(__xludf.DUMMYFUNCTION("""COMPUTED_VALUE"""),0)</f>
        <v>0</v>
      </c>
      <c r="G28" s="48">
        <f ca="1">IFERROR(__xludf.DUMMYFUNCTION("""COMPUTED_VALUE"""),0)</f>
        <v>0</v>
      </c>
      <c r="H28" s="48">
        <f ca="1">IFERROR(__xludf.DUMMYFUNCTION("""COMPUTED_VALUE"""),0)</f>
        <v>0</v>
      </c>
      <c r="I28" s="48">
        <f ca="1">IFERROR(__xludf.DUMMYFUNCTION("""COMPUTED_VALUE"""),0)</f>
        <v>0</v>
      </c>
      <c r="J28" s="48">
        <f ca="1">IFERROR(__xludf.DUMMYFUNCTION("""COMPUTED_VALUE"""),0)</f>
        <v>0</v>
      </c>
      <c r="K28" s="48">
        <f ca="1">IFERROR(__xludf.DUMMYFUNCTION("""COMPUTED_VALUE"""),0)</f>
        <v>0</v>
      </c>
      <c r="L28" s="48">
        <f ca="1">IFERROR(__xludf.DUMMYFUNCTION("""COMPUTED_VALUE"""),0)</f>
        <v>0</v>
      </c>
      <c r="M28" s="48">
        <f ca="1">IFERROR(__xludf.DUMMYFUNCTION("""COMPUTED_VALUE"""),0)</f>
        <v>0</v>
      </c>
      <c r="N28" s="48">
        <f ca="1">IFERROR(__xludf.DUMMYFUNCTION("""COMPUTED_VALUE"""),0)</f>
        <v>0</v>
      </c>
      <c r="O28" s="48">
        <f ca="1">IFERROR(__xludf.DUMMYFUNCTION("""COMPUTED_VALUE"""),0)</f>
        <v>0</v>
      </c>
      <c r="P28" s="48">
        <f ca="1">IFERROR(__xludf.DUMMYFUNCTION("""COMPUTED_VALUE"""),0)</f>
        <v>0</v>
      </c>
      <c r="Q28" s="48">
        <f ca="1">IFERROR(__xludf.DUMMYFUNCTION("""COMPUTED_VALUE"""),0)</f>
        <v>0</v>
      </c>
      <c r="R28" s="48">
        <f ca="1">IFERROR(__xludf.DUMMYFUNCTION("""COMPUTED_VALUE"""),0)</f>
        <v>0</v>
      </c>
      <c r="S28" s="48">
        <f ca="1">IFERROR(__xludf.DUMMYFUNCTION("""COMPUTED_VALUE"""),0)</f>
        <v>0</v>
      </c>
    </row>
    <row r="29" spans="1:19">
      <c r="A29" s="46" t="str">
        <f ca="1">IFERROR(__xludf.DUMMYFUNCTION("""COMPUTED_VALUE"""),"BAJAS DE PERSONAL")</f>
        <v>BAJAS DE PERSONAL</v>
      </c>
      <c r="B29" s="46">
        <f ca="1">IFERROR(__xludf.DUMMYFUNCTION("""COMPUTED_VALUE"""),1)</f>
        <v>1</v>
      </c>
      <c r="C29" s="46"/>
      <c r="D29" s="46" t="str">
        <f ca="1">IFERROR(__xludf.DUMMYFUNCTION("""COMPUTED_VALUE"""),"ASCENDENTE")</f>
        <v>ASCENDENTE</v>
      </c>
      <c r="E29" s="46" t="str">
        <f ca="1">IFERROR(__xludf.DUMMYFUNCTION("""COMPUTED_VALUE"""),"BITACORA OPERATIVA")</f>
        <v>BITACORA OPERATIVA</v>
      </c>
      <c r="F29" s="47">
        <f ca="1">IFERROR(__xludf.DUMMYFUNCTION("""COMPUTED_VALUE"""),0)</f>
        <v>0</v>
      </c>
      <c r="G29" s="48">
        <f ca="1">IFERROR(__xludf.DUMMYFUNCTION("""COMPUTED_VALUE"""),0)</f>
        <v>0</v>
      </c>
      <c r="H29" s="48">
        <f ca="1">IFERROR(__xludf.DUMMYFUNCTION("""COMPUTED_VALUE"""),0)</f>
        <v>0</v>
      </c>
      <c r="I29" s="48">
        <f ca="1">IFERROR(__xludf.DUMMYFUNCTION("""COMPUTED_VALUE"""),0)</f>
        <v>0</v>
      </c>
      <c r="J29" s="48">
        <f ca="1">IFERROR(__xludf.DUMMYFUNCTION("""COMPUTED_VALUE"""),0)</f>
        <v>0</v>
      </c>
      <c r="K29" s="48">
        <f ca="1">IFERROR(__xludf.DUMMYFUNCTION("""COMPUTED_VALUE"""),0)</f>
        <v>0</v>
      </c>
      <c r="L29" s="48">
        <f ca="1">IFERROR(__xludf.DUMMYFUNCTION("""COMPUTED_VALUE"""),0)</f>
        <v>0</v>
      </c>
      <c r="M29" s="48">
        <f ca="1">IFERROR(__xludf.DUMMYFUNCTION("""COMPUTED_VALUE"""),0)</f>
        <v>0</v>
      </c>
      <c r="N29" s="48">
        <f ca="1">IFERROR(__xludf.DUMMYFUNCTION("""COMPUTED_VALUE"""),0)</f>
        <v>0</v>
      </c>
      <c r="O29" s="48">
        <f ca="1">IFERROR(__xludf.DUMMYFUNCTION("""COMPUTED_VALUE"""),0)</f>
        <v>0</v>
      </c>
      <c r="P29" s="48">
        <f ca="1">IFERROR(__xludf.DUMMYFUNCTION("""COMPUTED_VALUE"""),0)</f>
        <v>0</v>
      </c>
      <c r="Q29" s="48">
        <f ca="1">IFERROR(__xludf.DUMMYFUNCTION("""COMPUTED_VALUE"""),0)</f>
        <v>0</v>
      </c>
      <c r="R29" s="48">
        <f ca="1">IFERROR(__xludf.DUMMYFUNCTION("""COMPUTED_VALUE"""),0)</f>
        <v>0</v>
      </c>
      <c r="S29" s="48">
        <f ca="1">IFERROR(__xludf.DUMMYFUNCTION("""COMPUTED_VALUE"""),0)</f>
        <v>0</v>
      </c>
    </row>
    <row r="30" spans="1:19">
      <c r="A30" s="46" t="str">
        <f ca="1">IFERROR(__xludf.DUMMYFUNCTION("""COMPUTED_VALUE"""),"AUSENTISMO (PERSONAS)")</f>
        <v>AUSENTISMO (PERSONAS)</v>
      </c>
      <c r="B30" s="46">
        <f ca="1">IFERROR(__xludf.DUMMYFUNCTION("""COMPUTED_VALUE"""),1)</f>
        <v>1</v>
      </c>
      <c r="C30" s="46"/>
      <c r="D30" s="46" t="str">
        <f ca="1">IFERROR(__xludf.DUMMYFUNCTION("""COMPUTED_VALUE"""),"ASCENDENTE")</f>
        <v>ASCENDENTE</v>
      </c>
      <c r="E30" s="46" t="str">
        <f ca="1">IFERROR(__xludf.DUMMYFUNCTION("""COMPUTED_VALUE"""),"BITACORA OPERATIVA")</f>
        <v>BITACORA OPERATIVA</v>
      </c>
      <c r="F30" s="47">
        <f ca="1">IFERROR(__xludf.DUMMYFUNCTION("""COMPUTED_VALUE"""),0)</f>
        <v>0</v>
      </c>
      <c r="G30" s="48">
        <f ca="1">IFERROR(__xludf.DUMMYFUNCTION("""COMPUTED_VALUE"""),0)</f>
        <v>0</v>
      </c>
      <c r="H30" s="48">
        <f ca="1">IFERROR(__xludf.DUMMYFUNCTION("""COMPUTED_VALUE"""),0)</f>
        <v>0</v>
      </c>
      <c r="I30" s="48">
        <f ca="1">IFERROR(__xludf.DUMMYFUNCTION("""COMPUTED_VALUE"""),0)</f>
        <v>0</v>
      </c>
      <c r="J30" s="48">
        <f ca="1">IFERROR(__xludf.DUMMYFUNCTION("""COMPUTED_VALUE"""),0)</f>
        <v>0</v>
      </c>
      <c r="K30" s="48">
        <f ca="1">IFERROR(__xludf.DUMMYFUNCTION("""COMPUTED_VALUE"""),0)</f>
        <v>0</v>
      </c>
      <c r="L30" s="48">
        <f ca="1">IFERROR(__xludf.DUMMYFUNCTION("""COMPUTED_VALUE"""),0)</f>
        <v>0</v>
      </c>
      <c r="M30" s="48">
        <f ca="1">IFERROR(__xludf.DUMMYFUNCTION("""COMPUTED_VALUE"""),0)</f>
        <v>0</v>
      </c>
      <c r="N30" s="48">
        <f ca="1">IFERROR(__xludf.DUMMYFUNCTION("""COMPUTED_VALUE"""),0)</f>
        <v>0</v>
      </c>
      <c r="O30" s="48">
        <f ca="1">IFERROR(__xludf.DUMMYFUNCTION("""COMPUTED_VALUE"""),0)</f>
        <v>0</v>
      </c>
      <c r="P30" s="48">
        <f ca="1">IFERROR(__xludf.DUMMYFUNCTION("""COMPUTED_VALUE"""),0)</f>
        <v>0</v>
      </c>
      <c r="Q30" s="48">
        <f ca="1">IFERROR(__xludf.DUMMYFUNCTION("""COMPUTED_VALUE"""),0)</f>
        <v>0</v>
      </c>
      <c r="R30" s="48">
        <f ca="1">IFERROR(__xludf.DUMMYFUNCTION("""COMPUTED_VALUE"""),0)</f>
        <v>0</v>
      </c>
      <c r="S30" s="48">
        <f ca="1">IFERROR(__xludf.DUMMYFUNCTION("""COMPUTED_VALUE"""),0)</f>
        <v>0</v>
      </c>
    </row>
    <row r="31" spans="1:19">
      <c r="A31" s="46" t="str">
        <f ca="1">IFERROR(__xludf.DUMMYFUNCTION("""COMPUTED_VALUE"""),"JUBILADOS")</f>
        <v>JUBILADOS</v>
      </c>
      <c r="B31" s="46">
        <f ca="1">IFERROR(__xludf.DUMMYFUNCTION("""COMPUTED_VALUE"""),1)</f>
        <v>1</v>
      </c>
      <c r="C31" s="46"/>
      <c r="D31" s="46" t="str">
        <f ca="1">IFERROR(__xludf.DUMMYFUNCTION("""COMPUTED_VALUE"""),"ASCENDENTE")</f>
        <v>ASCENDENTE</v>
      </c>
      <c r="E31" s="46" t="str">
        <f ca="1">IFERROR(__xludf.DUMMYFUNCTION("""COMPUTED_VALUE"""),"BITACORA OPERATIVA")</f>
        <v>BITACORA OPERATIVA</v>
      </c>
      <c r="F31" s="47">
        <f ca="1">IFERROR(__xludf.DUMMYFUNCTION("""COMPUTED_VALUE"""),0)</f>
        <v>0</v>
      </c>
      <c r="G31" s="48">
        <f ca="1">IFERROR(__xludf.DUMMYFUNCTION("""COMPUTED_VALUE"""),0)</f>
        <v>0</v>
      </c>
      <c r="H31" s="48">
        <f ca="1">IFERROR(__xludf.DUMMYFUNCTION("""COMPUTED_VALUE"""),0)</f>
        <v>0</v>
      </c>
      <c r="I31" s="48">
        <f ca="1">IFERROR(__xludf.DUMMYFUNCTION("""COMPUTED_VALUE"""),0)</f>
        <v>0</v>
      </c>
      <c r="J31" s="48">
        <f ca="1">IFERROR(__xludf.DUMMYFUNCTION("""COMPUTED_VALUE"""),0)</f>
        <v>0</v>
      </c>
      <c r="K31" s="48">
        <f ca="1">IFERROR(__xludf.DUMMYFUNCTION("""COMPUTED_VALUE"""),0)</f>
        <v>0</v>
      </c>
      <c r="L31" s="48">
        <f ca="1">IFERROR(__xludf.DUMMYFUNCTION("""COMPUTED_VALUE"""),0)</f>
        <v>0</v>
      </c>
      <c r="M31" s="48">
        <f ca="1">IFERROR(__xludf.DUMMYFUNCTION("""COMPUTED_VALUE"""),0)</f>
        <v>0</v>
      </c>
      <c r="N31" s="48">
        <f ca="1">IFERROR(__xludf.DUMMYFUNCTION("""COMPUTED_VALUE"""),0)</f>
        <v>0</v>
      </c>
      <c r="O31" s="48">
        <f ca="1">IFERROR(__xludf.DUMMYFUNCTION("""COMPUTED_VALUE"""),0)</f>
        <v>0</v>
      </c>
      <c r="P31" s="48">
        <f ca="1">IFERROR(__xludf.DUMMYFUNCTION("""COMPUTED_VALUE"""),0)</f>
        <v>0</v>
      </c>
      <c r="Q31" s="48">
        <f ca="1">IFERROR(__xludf.DUMMYFUNCTION("""COMPUTED_VALUE"""),0)</f>
        <v>0</v>
      </c>
      <c r="R31" s="48">
        <f ca="1">IFERROR(__xludf.DUMMYFUNCTION("""COMPUTED_VALUE"""),0)</f>
        <v>0</v>
      </c>
      <c r="S31" s="48">
        <f ca="1">IFERROR(__xludf.DUMMYFUNCTION("""COMPUTED_VALUE"""),0)</f>
        <v>0</v>
      </c>
    </row>
    <row r="32" spans="1:19">
      <c r="A32" s="46" t="str">
        <f ca="1">IFERROR(__xludf.DUMMYFUNCTION("""COMPUTED_VALUE"""),"HOMBRES")</f>
        <v>HOMBRES</v>
      </c>
      <c r="B32" s="46">
        <f ca="1">IFERROR(__xludf.DUMMYFUNCTION("""COMPUTED_VALUE"""),1)</f>
        <v>1</v>
      </c>
      <c r="C32" s="46"/>
      <c r="D32" s="46" t="str">
        <f ca="1">IFERROR(__xludf.DUMMYFUNCTION("""COMPUTED_VALUE"""),"ASCENDENTE")</f>
        <v>ASCENDENTE</v>
      </c>
      <c r="E32" s="46" t="str">
        <f ca="1">IFERROR(__xludf.DUMMYFUNCTION("""COMPUTED_VALUE"""),"BITACORA OPERATIVA")</f>
        <v>BITACORA OPERATIVA</v>
      </c>
      <c r="F32" s="47">
        <f ca="1">IFERROR(__xludf.DUMMYFUNCTION("""COMPUTED_VALUE"""),0)</f>
        <v>0</v>
      </c>
      <c r="G32" s="48">
        <f ca="1">IFERROR(__xludf.DUMMYFUNCTION("""COMPUTED_VALUE"""),0)</f>
        <v>0</v>
      </c>
      <c r="H32" s="48">
        <f ca="1">IFERROR(__xludf.DUMMYFUNCTION("""COMPUTED_VALUE"""),0)</f>
        <v>0</v>
      </c>
      <c r="I32" s="48">
        <f ca="1">IFERROR(__xludf.DUMMYFUNCTION("""COMPUTED_VALUE"""),0)</f>
        <v>0</v>
      </c>
      <c r="J32" s="48">
        <f ca="1">IFERROR(__xludf.DUMMYFUNCTION("""COMPUTED_VALUE"""),0)</f>
        <v>0</v>
      </c>
      <c r="K32" s="48">
        <f ca="1">IFERROR(__xludf.DUMMYFUNCTION("""COMPUTED_VALUE"""),0)</f>
        <v>0</v>
      </c>
      <c r="L32" s="48">
        <f ca="1">IFERROR(__xludf.DUMMYFUNCTION("""COMPUTED_VALUE"""),0)</f>
        <v>0</v>
      </c>
      <c r="M32" s="48">
        <f ca="1">IFERROR(__xludf.DUMMYFUNCTION("""COMPUTED_VALUE"""),0)</f>
        <v>0</v>
      </c>
      <c r="N32" s="48">
        <f ca="1">IFERROR(__xludf.DUMMYFUNCTION("""COMPUTED_VALUE"""),0)</f>
        <v>0</v>
      </c>
      <c r="O32" s="48">
        <f ca="1">IFERROR(__xludf.DUMMYFUNCTION("""COMPUTED_VALUE"""),0)</f>
        <v>0</v>
      </c>
      <c r="P32" s="48">
        <f ca="1">IFERROR(__xludf.DUMMYFUNCTION("""COMPUTED_VALUE"""),0)</f>
        <v>0</v>
      </c>
      <c r="Q32" s="48">
        <f ca="1">IFERROR(__xludf.DUMMYFUNCTION("""COMPUTED_VALUE"""),0)</f>
        <v>0</v>
      </c>
      <c r="R32" s="48">
        <f ca="1">IFERROR(__xludf.DUMMYFUNCTION("""COMPUTED_VALUE"""),0)</f>
        <v>0</v>
      </c>
      <c r="S32" s="48">
        <f ca="1">IFERROR(__xludf.DUMMYFUNCTION("""COMPUTED_VALUE"""),0)</f>
        <v>0</v>
      </c>
    </row>
    <row r="33" spans="1:19">
      <c r="A33" s="46" t="str">
        <f ca="1">IFERROR(__xludf.DUMMYFUNCTION("""COMPUTED_VALUE"""),"MUJERES")</f>
        <v>MUJERES</v>
      </c>
      <c r="B33" s="46">
        <f ca="1">IFERROR(__xludf.DUMMYFUNCTION("""COMPUTED_VALUE"""),1)</f>
        <v>1</v>
      </c>
      <c r="C33" s="46"/>
      <c r="D33" s="46" t="str">
        <f ca="1">IFERROR(__xludf.DUMMYFUNCTION("""COMPUTED_VALUE"""),"ASCENDENTE")</f>
        <v>ASCENDENTE</v>
      </c>
      <c r="E33" s="46" t="str">
        <f ca="1">IFERROR(__xludf.DUMMYFUNCTION("""COMPUTED_VALUE"""),"BITACORA OPERATIVA")</f>
        <v>BITACORA OPERATIVA</v>
      </c>
      <c r="F33" s="47">
        <f ca="1">IFERROR(__xludf.DUMMYFUNCTION("""COMPUTED_VALUE"""),0)</f>
        <v>0</v>
      </c>
      <c r="G33" s="48">
        <f ca="1">IFERROR(__xludf.DUMMYFUNCTION("""COMPUTED_VALUE"""),0)</f>
        <v>0</v>
      </c>
      <c r="H33" s="48">
        <f ca="1">IFERROR(__xludf.DUMMYFUNCTION("""COMPUTED_VALUE"""),0)</f>
        <v>0</v>
      </c>
      <c r="I33" s="48">
        <f ca="1">IFERROR(__xludf.DUMMYFUNCTION("""COMPUTED_VALUE"""),0)</f>
        <v>0</v>
      </c>
      <c r="J33" s="48">
        <f ca="1">IFERROR(__xludf.DUMMYFUNCTION("""COMPUTED_VALUE"""),0)</f>
        <v>0</v>
      </c>
      <c r="K33" s="48">
        <f ca="1">IFERROR(__xludf.DUMMYFUNCTION("""COMPUTED_VALUE"""),0)</f>
        <v>0</v>
      </c>
      <c r="L33" s="48">
        <f ca="1">IFERROR(__xludf.DUMMYFUNCTION("""COMPUTED_VALUE"""),0)</f>
        <v>0</v>
      </c>
      <c r="M33" s="48">
        <f ca="1">IFERROR(__xludf.DUMMYFUNCTION("""COMPUTED_VALUE"""),0)</f>
        <v>0</v>
      </c>
      <c r="N33" s="48">
        <f ca="1">IFERROR(__xludf.DUMMYFUNCTION("""COMPUTED_VALUE"""),0)</f>
        <v>0</v>
      </c>
      <c r="O33" s="48">
        <f ca="1">IFERROR(__xludf.DUMMYFUNCTION("""COMPUTED_VALUE"""),0)</f>
        <v>0</v>
      </c>
      <c r="P33" s="48">
        <f ca="1">IFERROR(__xludf.DUMMYFUNCTION("""COMPUTED_VALUE"""),0)</f>
        <v>0</v>
      </c>
      <c r="Q33" s="48">
        <f ca="1">IFERROR(__xludf.DUMMYFUNCTION("""COMPUTED_VALUE"""),0)</f>
        <v>0</v>
      </c>
      <c r="R33" s="48">
        <f ca="1">IFERROR(__xludf.DUMMYFUNCTION("""COMPUTED_VALUE"""),0)</f>
        <v>0</v>
      </c>
      <c r="S33" s="48">
        <f ca="1">IFERROR(__xludf.DUMMYFUNCTION("""COMPUTED_VALUE"""),0)</f>
        <v>0</v>
      </c>
    </row>
    <row r="34" spans="1:19">
      <c r="A34" s="46" t="str">
        <f ca="1">IFERROR(__xludf.DUMMYFUNCTION("""COMPUTED_VALUE"""),"PENSIONADOS")</f>
        <v>PENSIONADOS</v>
      </c>
      <c r="B34" s="46">
        <f ca="1">IFERROR(__xludf.DUMMYFUNCTION("""COMPUTED_VALUE"""),1)</f>
        <v>1</v>
      </c>
      <c r="C34" s="46"/>
      <c r="D34" s="46" t="str">
        <f ca="1">IFERROR(__xludf.DUMMYFUNCTION("""COMPUTED_VALUE"""),"ASCENDENTE")</f>
        <v>ASCENDENTE</v>
      </c>
      <c r="E34" s="46" t="str">
        <f ca="1">IFERROR(__xludf.DUMMYFUNCTION("""COMPUTED_VALUE"""),"BITACORA OPERATIVA")</f>
        <v>BITACORA OPERATIVA</v>
      </c>
      <c r="F34" s="47">
        <f ca="1">IFERROR(__xludf.DUMMYFUNCTION("""COMPUTED_VALUE"""),0)</f>
        <v>0</v>
      </c>
      <c r="G34" s="48">
        <f ca="1">IFERROR(__xludf.DUMMYFUNCTION("""COMPUTED_VALUE"""),0)</f>
        <v>0</v>
      </c>
      <c r="H34" s="48">
        <f ca="1">IFERROR(__xludf.DUMMYFUNCTION("""COMPUTED_VALUE"""),0)</f>
        <v>0</v>
      </c>
      <c r="I34" s="48">
        <f ca="1">IFERROR(__xludf.DUMMYFUNCTION("""COMPUTED_VALUE"""),0)</f>
        <v>0</v>
      </c>
      <c r="J34" s="48">
        <f ca="1">IFERROR(__xludf.DUMMYFUNCTION("""COMPUTED_VALUE"""),0)</f>
        <v>0</v>
      </c>
      <c r="K34" s="48">
        <f ca="1">IFERROR(__xludf.DUMMYFUNCTION("""COMPUTED_VALUE"""),0)</f>
        <v>0</v>
      </c>
      <c r="L34" s="48">
        <f ca="1">IFERROR(__xludf.DUMMYFUNCTION("""COMPUTED_VALUE"""),0)</f>
        <v>0</v>
      </c>
      <c r="M34" s="48">
        <f ca="1">IFERROR(__xludf.DUMMYFUNCTION("""COMPUTED_VALUE"""),0)</f>
        <v>0</v>
      </c>
      <c r="N34" s="48">
        <f ca="1">IFERROR(__xludf.DUMMYFUNCTION("""COMPUTED_VALUE"""),0)</f>
        <v>0</v>
      </c>
      <c r="O34" s="48">
        <f ca="1">IFERROR(__xludf.DUMMYFUNCTION("""COMPUTED_VALUE"""),0)</f>
        <v>0</v>
      </c>
      <c r="P34" s="48">
        <f ca="1">IFERROR(__xludf.DUMMYFUNCTION("""COMPUTED_VALUE"""),0)</f>
        <v>0</v>
      </c>
      <c r="Q34" s="48">
        <f ca="1">IFERROR(__xludf.DUMMYFUNCTION("""COMPUTED_VALUE"""),0)</f>
        <v>0</v>
      </c>
      <c r="R34" s="48">
        <f ca="1">IFERROR(__xludf.DUMMYFUNCTION("""COMPUTED_VALUE"""),0)</f>
        <v>0</v>
      </c>
      <c r="S34" s="48">
        <f ca="1">IFERROR(__xludf.DUMMYFUNCTION("""COMPUTED_VALUE"""),0)</f>
        <v>0</v>
      </c>
    </row>
    <row r="35" spans="1:19">
      <c r="A35" s="46" t="str">
        <f ca="1">IFERROR(__xludf.DUMMYFUNCTION("""COMPUTED_VALUE"""),"HOMBRES")</f>
        <v>HOMBRES</v>
      </c>
      <c r="B35" s="46">
        <f ca="1">IFERROR(__xludf.DUMMYFUNCTION("""COMPUTED_VALUE"""),1)</f>
        <v>1</v>
      </c>
      <c r="C35" s="46"/>
      <c r="D35" s="46" t="str">
        <f ca="1">IFERROR(__xludf.DUMMYFUNCTION("""COMPUTED_VALUE"""),"ASCENDENTE")</f>
        <v>ASCENDENTE</v>
      </c>
      <c r="E35" s="46" t="str">
        <f ca="1">IFERROR(__xludf.DUMMYFUNCTION("""COMPUTED_VALUE"""),"BITACORA OPERATIVA")</f>
        <v>BITACORA OPERATIVA</v>
      </c>
      <c r="F35" s="47">
        <f ca="1">IFERROR(__xludf.DUMMYFUNCTION("""COMPUTED_VALUE"""),0)</f>
        <v>0</v>
      </c>
      <c r="G35" s="48">
        <f ca="1">IFERROR(__xludf.DUMMYFUNCTION("""COMPUTED_VALUE"""),0)</f>
        <v>0</v>
      </c>
      <c r="H35" s="48">
        <f ca="1">IFERROR(__xludf.DUMMYFUNCTION("""COMPUTED_VALUE"""),0)</f>
        <v>0</v>
      </c>
      <c r="I35" s="48">
        <f ca="1">IFERROR(__xludf.DUMMYFUNCTION("""COMPUTED_VALUE"""),0)</f>
        <v>0</v>
      </c>
      <c r="J35" s="48">
        <f ca="1">IFERROR(__xludf.DUMMYFUNCTION("""COMPUTED_VALUE"""),0)</f>
        <v>0</v>
      </c>
      <c r="K35" s="48">
        <f ca="1">IFERROR(__xludf.DUMMYFUNCTION("""COMPUTED_VALUE"""),0)</f>
        <v>0</v>
      </c>
      <c r="L35" s="48">
        <f ca="1">IFERROR(__xludf.DUMMYFUNCTION("""COMPUTED_VALUE"""),0)</f>
        <v>0</v>
      </c>
      <c r="M35" s="48">
        <f ca="1">IFERROR(__xludf.DUMMYFUNCTION("""COMPUTED_VALUE"""),0)</f>
        <v>0</v>
      </c>
      <c r="N35" s="48">
        <f ca="1">IFERROR(__xludf.DUMMYFUNCTION("""COMPUTED_VALUE"""),0)</f>
        <v>0</v>
      </c>
      <c r="O35" s="48">
        <f ca="1">IFERROR(__xludf.DUMMYFUNCTION("""COMPUTED_VALUE"""),0)</f>
        <v>0</v>
      </c>
      <c r="P35" s="48">
        <f ca="1">IFERROR(__xludf.DUMMYFUNCTION("""COMPUTED_VALUE"""),0)</f>
        <v>0</v>
      </c>
      <c r="Q35" s="48">
        <f ca="1">IFERROR(__xludf.DUMMYFUNCTION("""COMPUTED_VALUE"""),0)</f>
        <v>0</v>
      </c>
      <c r="R35" s="48">
        <f ca="1">IFERROR(__xludf.DUMMYFUNCTION("""COMPUTED_VALUE"""),0)</f>
        <v>0</v>
      </c>
      <c r="S35" s="48">
        <f ca="1">IFERROR(__xludf.DUMMYFUNCTION("""COMPUTED_VALUE"""),0)</f>
        <v>0</v>
      </c>
    </row>
    <row r="36" spans="1:19">
      <c r="A36" s="46" t="str">
        <f ca="1">IFERROR(__xludf.DUMMYFUNCTION("""COMPUTED_VALUE"""),"MUJERES")</f>
        <v>MUJERES</v>
      </c>
      <c r="B36" s="46">
        <f ca="1">IFERROR(__xludf.DUMMYFUNCTION("""COMPUTED_VALUE"""),1)</f>
        <v>1</v>
      </c>
      <c r="C36" s="46"/>
      <c r="D36" s="46" t="str">
        <f ca="1">IFERROR(__xludf.DUMMYFUNCTION("""COMPUTED_VALUE"""),"ASCENDENTE")</f>
        <v>ASCENDENTE</v>
      </c>
      <c r="E36" s="46" t="str">
        <f ca="1">IFERROR(__xludf.DUMMYFUNCTION("""COMPUTED_VALUE"""),"BITACORA OPERATIVA")</f>
        <v>BITACORA OPERATIVA</v>
      </c>
      <c r="F36" s="47">
        <f ca="1">IFERROR(__xludf.DUMMYFUNCTION("""COMPUTED_VALUE"""),0)</f>
        <v>0</v>
      </c>
      <c r="G36" s="48">
        <f ca="1">IFERROR(__xludf.DUMMYFUNCTION("""COMPUTED_VALUE"""),0)</f>
        <v>0</v>
      </c>
      <c r="H36" s="48">
        <f ca="1">IFERROR(__xludf.DUMMYFUNCTION("""COMPUTED_VALUE"""),0)</f>
        <v>0</v>
      </c>
      <c r="I36" s="48">
        <f ca="1">IFERROR(__xludf.DUMMYFUNCTION("""COMPUTED_VALUE"""),0)</f>
        <v>0</v>
      </c>
      <c r="J36" s="48">
        <f ca="1">IFERROR(__xludf.DUMMYFUNCTION("""COMPUTED_VALUE"""),0)</f>
        <v>0</v>
      </c>
      <c r="K36" s="48">
        <f ca="1">IFERROR(__xludf.DUMMYFUNCTION("""COMPUTED_VALUE"""),0)</f>
        <v>0</v>
      </c>
      <c r="L36" s="48">
        <f ca="1">IFERROR(__xludf.DUMMYFUNCTION("""COMPUTED_VALUE"""),0)</f>
        <v>0</v>
      </c>
      <c r="M36" s="48">
        <f ca="1">IFERROR(__xludf.DUMMYFUNCTION("""COMPUTED_VALUE"""),0)</f>
        <v>0</v>
      </c>
      <c r="N36" s="48">
        <f ca="1">IFERROR(__xludf.DUMMYFUNCTION("""COMPUTED_VALUE"""),0)</f>
        <v>0</v>
      </c>
      <c r="O36" s="48">
        <f ca="1">IFERROR(__xludf.DUMMYFUNCTION("""COMPUTED_VALUE"""),0)</f>
        <v>0</v>
      </c>
      <c r="P36" s="48">
        <f ca="1">IFERROR(__xludf.DUMMYFUNCTION("""COMPUTED_VALUE"""),0)</f>
        <v>0</v>
      </c>
      <c r="Q36" s="48">
        <f ca="1">IFERROR(__xludf.DUMMYFUNCTION("""COMPUTED_VALUE"""),0)</f>
        <v>0</v>
      </c>
      <c r="R36" s="48">
        <f ca="1">IFERROR(__xludf.DUMMYFUNCTION("""COMPUTED_VALUE"""),0)</f>
        <v>0</v>
      </c>
      <c r="S36" s="48">
        <f ca="1">IFERROR(__xludf.DUMMYFUNCTION("""COMPUTED_VALUE"""),0)</f>
        <v>0</v>
      </c>
    </row>
    <row r="37" spans="1:19">
      <c r="A37" s="46" t="str">
        <f ca="1">IFERROR(__xludf.DUMMYFUNCTION("""COMPUTED_VALUE"""),"TOTAL DE VEHICULOS QUE CARGARON COMBUSTIBLE")</f>
        <v>TOTAL DE VEHICULOS QUE CARGARON COMBUSTIBLE</v>
      </c>
      <c r="B37" s="46">
        <f ca="1">IFERROR(__xludf.DUMMYFUNCTION("""COMPUTED_VALUE"""),1)</f>
        <v>1</v>
      </c>
      <c r="C37" s="46"/>
      <c r="D37" s="46" t="str">
        <f ca="1">IFERROR(__xludf.DUMMYFUNCTION("""COMPUTED_VALUE"""),"ASCENDENTE")</f>
        <v>ASCENDENTE</v>
      </c>
      <c r="E37" s="46" t="str">
        <f ca="1">IFERROR(__xludf.DUMMYFUNCTION("""COMPUTED_VALUE"""),"BITACORA OPERATIVA")</f>
        <v>BITACORA OPERATIVA</v>
      </c>
      <c r="F37" s="47">
        <f ca="1">IFERROR(__xludf.DUMMYFUNCTION("""COMPUTED_VALUE"""),0)</f>
        <v>0</v>
      </c>
      <c r="G37" s="48">
        <f ca="1">IFERROR(__xludf.DUMMYFUNCTION("""COMPUTED_VALUE"""),0)</f>
        <v>0</v>
      </c>
      <c r="H37" s="48">
        <f ca="1">IFERROR(__xludf.DUMMYFUNCTION("""COMPUTED_VALUE"""),0)</f>
        <v>0</v>
      </c>
      <c r="I37" s="48">
        <f ca="1">IFERROR(__xludf.DUMMYFUNCTION("""COMPUTED_VALUE"""),0)</f>
        <v>0</v>
      </c>
      <c r="J37" s="48">
        <f ca="1">IFERROR(__xludf.DUMMYFUNCTION("""COMPUTED_VALUE"""),0)</f>
        <v>0</v>
      </c>
      <c r="K37" s="48">
        <f ca="1">IFERROR(__xludf.DUMMYFUNCTION("""COMPUTED_VALUE"""),0)</f>
        <v>0</v>
      </c>
      <c r="L37" s="48">
        <f ca="1">IFERROR(__xludf.DUMMYFUNCTION("""COMPUTED_VALUE"""),0)</f>
        <v>0</v>
      </c>
      <c r="M37" s="48">
        <f ca="1">IFERROR(__xludf.DUMMYFUNCTION("""COMPUTED_VALUE"""),0)</f>
        <v>0</v>
      </c>
      <c r="N37" s="48">
        <f ca="1">IFERROR(__xludf.DUMMYFUNCTION("""COMPUTED_VALUE"""),0)</f>
        <v>0</v>
      </c>
      <c r="O37" s="48">
        <f ca="1">IFERROR(__xludf.DUMMYFUNCTION("""COMPUTED_VALUE"""),0)</f>
        <v>0</v>
      </c>
      <c r="P37" s="48">
        <f ca="1">IFERROR(__xludf.DUMMYFUNCTION("""COMPUTED_VALUE"""),0)</f>
        <v>0</v>
      </c>
      <c r="Q37" s="48">
        <f ca="1">IFERROR(__xludf.DUMMYFUNCTION("""COMPUTED_VALUE"""),0)</f>
        <v>0</v>
      </c>
      <c r="R37" s="48">
        <f ca="1">IFERROR(__xludf.DUMMYFUNCTION("""COMPUTED_VALUE"""),0)</f>
        <v>0</v>
      </c>
      <c r="S37" s="48">
        <f ca="1">IFERROR(__xludf.DUMMYFUNCTION("""COMPUTED_VALUE"""),0)</f>
        <v>0</v>
      </c>
    </row>
    <row r="38" spans="1:19">
      <c r="A38" s="46" t="str">
        <f ca="1">IFERROR(__xludf.DUMMYFUNCTION("""COMPUTED_VALUE"""),"VEHICULOS OFICIALES A GASOLINA")</f>
        <v>VEHICULOS OFICIALES A GASOLINA</v>
      </c>
      <c r="B38" s="46">
        <f ca="1">IFERROR(__xludf.DUMMYFUNCTION("""COMPUTED_VALUE"""),1)</f>
        <v>1</v>
      </c>
      <c r="C38" s="46"/>
      <c r="D38" s="46" t="str">
        <f ca="1">IFERROR(__xludf.DUMMYFUNCTION("""COMPUTED_VALUE"""),"ASCENDENTE")</f>
        <v>ASCENDENTE</v>
      </c>
      <c r="E38" s="46" t="str">
        <f ca="1">IFERROR(__xludf.DUMMYFUNCTION("""COMPUTED_VALUE"""),"BITACORA OPERATIVA")</f>
        <v>BITACORA OPERATIVA</v>
      </c>
      <c r="F38" s="47">
        <f ca="1">IFERROR(__xludf.DUMMYFUNCTION("""COMPUTED_VALUE"""),0)</f>
        <v>0</v>
      </c>
      <c r="G38" s="48">
        <f ca="1">IFERROR(__xludf.DUMMYFUNCTION("""COMPUTED_VALUE"""),0)</f>
        <v>0</v>
      </c>
      <c r="H38" s="48">
        <f ca="1">IFERROR(__xludf.DUMMYFUNCTION("""COMPUTED_VALUE"""),0)</f>
        <v>0</v>
      </c>
      <c r="I38" s="48">
        <f ca="1">IFERROR(__xludf.DUMMYFUNCTION("""COMPUTED_VALUE"""),0)</f>
        <v>0</v>
      </c>
      <c r="J38" s="48">
        <f ca="1">IFERROR(__xludf.DUMMYFUNCTION("""COMPUTED_VALUE"""),0)</f>
        <v>0</v>
      </c>
      <c r="K38" s="48">
        <f ca="1">IFERROR(__xludf.DUMMYFUNCTION("""COMPUTED_VALUE"""),0)</f>
        <v>0</v>
      </c>
      <c r="L38" s="48">
        <f ca="1">IFERROR(__xludf.DUMMYFUNCTION("""COMPUTED_VALUE"""),0)</f>
        <v>0</v>
      </c>
      <c r="M38" s="48">
        <f ca="1">IFERROR(__xludf.DUMMYFUNCTION("""COMPUTED_VALUE"""),0)</f>
        <v>0</v>
      </c>
      <c r="N38" s="48">
        <f ca="1">IFERROR(__xludf.DUMMYFUNCTION("""COMPUTED_VALUE"""),0)</f>
        <v>0</v>
      </c>
      <c r="O38" s="48">
        <f ca="1">IFERROR(__xludf.DUMMYFUNCTION("""COMPUTED_VALUE"""),0)</f>
        <v>0</v>
      </c>
      <c r="P38" s="48">
        <f ca="1">IFERROR(__xludf.DUMMYFUNCTION("""COMPUTED_VALUE"""),0)</f>
        <v>0</v>
      </c>
      <c r="Q38" s="48">
        <f ca="1">IFERROR(__xludf.DUMMYFUNCTION("""COMPUTED_VALUE"""),0)</f>
        <v>0</v>
      </c>
      <c r="R38" s="48">
        <f ca="1">IFERROR(__xludf.DUMMYFUNCTION("""COMPUTED_VALUE"""),0)</f>
        <v>0</v>
      </c>
      <c r="S38" s="48">
        <f ca="1">IFERROR(__xludf.DUMMYFUNCTION("""COMPUTED_VALUE"""),0)</f>
        <v>0</v>
      </c>
    </row>
    <row r="39" spans="1:19">
      <c r="A39" s="46" t="str">
        <f ca="1">IFERROR(__xludf.DUMMYFUNCTION("""COMPUTED_VALUE"""),"NÚMERO DE VECES QUE CARGARON COMBUSTIBLE")</f>
        <v>NÚMERO DE VECES QUE CARGARON COMBUSTIBLE</v>
      </c>
      <c r="B39" s="46">
        <f ca="1">IFERROR(__xludf.DUMMYFUNCTION("""COMPUTED_VALUE"""),1)</f>
        <v>1</v>
      </c>
      <c r="C39" s="46"/>
      <c r="D39" s="46" t="str">
        <f ca="1">IFERROR(__xludf.DUMMYFUNCTION("""COMPUTED_VALUE"""),"ASCENDENTE")</f>
        <v>ASCENDENTE</v>
      </c>
      <c r="E39" s="46" t="str">
        <f ca="1">IFERROR(__xludf.DUMMYFUNCTION("""COMPUTED_VALUE"""),"BITACORA OPERATIVA")</f>
        <v>BITACORA OPERATIVA</v>
      </c>
      <c r="F39" s="47">
        <f ca="1">IFERROR(__xludf.DUMMYFUNCTION("""COMPUTED_VALUE"""),0)</f>
        <v>0</v>
      </c>
      <c r="G39" s="48">
        <f ca="1">IFERROR(__xludf.DUMMYFUNCTION("""COMPUTED_VALUE"""),0)</f>
        <v>0</v>
      </c>
      <c r="H39" s="48">
        <f ca="1">IFERROR(__xludf.DUMMYFUNCTION("""COMPUTED_VALUE"""),0)</f>
        <v>0</v>
      </c>
      <c r="I39" s="48">
        <f ca="1">IFERROR(__xludf.DUMMYFUNCTION("""COMPUTED_VALUE"""),0)</f>
        <v>0</v>
      </c>
      <c r="J39" s="48">
        <f ca="1">IFERROR(__xludf.DUMMYFUNCTION("""COMPUTED_VALUE"""),0)</f>
        <v>0</v>
      </c>
      <c r="K39" s="48">
        <f ca="1">IFERROR(__xludf.DUMMYFUNCTION("""COMPUTED_VALUE"""),0)</f>
        <v>0</v>
      </c>
      <c r="L39" s="48">
        <f ca="1">IFERROR(__xludf.DUMMYFUNCTION("""COMPUTED_VALUE"""),0)</f>
        <v>0</v>
      </c>
      <c r="M39" s="48">
        <f ca="1">IFERROR(__xludf.DUMMYFUNCTION("""COMPUTED_VALUE"""),0)</f>
        <v>0</v>
      </c>
      <c r="N39" s="48">
        <f ca="1">IFERROR(__xludf.DUMMYFUNCTION("""COMPUTED_VALUE"""),0)</f>
        <v>0</v>
      </c>
      <c r="O39" s="48">
        <f ca="1">IFERROR(__xludf.DUMMYFUNCTION("""COMPUTED_VALUE"""),0)</f>
        <v>0</v>
      </c>
      <c r="P39" s="48">
        <f ca="1">IFERROR(__xludf.DUMMYFUNCTION("""COMPUTED_VALUE"""),0)</f>
        <v>0</v>
      </c>
      <c r="Q39" s="48">
        <f ca="1">IFERROR(__xludf.DUMMYFUNCTION("""COMPUTED_VALUE"""),0)</f>
        <v>0</v>
      </c>
      <c r="R39" s="48">
        <f ca="1">IFERROR(__xludf.DUMMYFUNCTION("""COMPUTED_VALUE"""),0)</f>
        <v>0</v>
      </c>
      <c r="S39" s="48">
        <f ca="1">IFERROR(__xludf.DUMMYFUNCTION("""COMPUTED_VALUE"""),0)</f>
        <v>0</v>
      </c>
    </row>
    <row r="40" spans="1:19">
      <c r="A40" s="46" t="str">
        <f ca="1">IFERROR(__xludf.DUMMYFUNCTION("""COMPUTED_VALUE"""),"TOTAL DE LITROS DE GASOLINA DESPACHADA")</f>
        <v>TOTAL DE LITROS DE GASOLINA DESPACHADA</v>
      </c>
      <c r="B40" s="46">
        <f ca="1">IFERROR(__xludf.DUMMYFUNCTION("""COMPUTED_VALUE"""),1)</f>
        <v>1</v>
      </c>
      <c r="C40" s="46"/>
      <c r="D40" s="46" t="str">
        <f ca="1">IFERROR(__xludf.DUMMYFUNCTION("""COMPUTED_VALUE"""),"ASCENDENTE")</f>
        <v>ASCENDENTE</v>
      </c>
      <c r="E40" s="46" t="str">
        <f ca="1">IFERROR(__xludf.DUMMYFUNCTION("""COMPUTED_VALUE"""),"BITACORA OPERATIVA")</f>
        <v>BITACORA OPERATIVA</v>
      </c>
      <c r="F40" s="47">
        <f ca="1">IFERROR(__xludf.DUMMYFUNCTION("""COMPUTED_VALUE"""),0)</f>
        <v>0</v>
      </c>
      <c r="G40" s="48">
        <f ca="1">IFERROR(__xludf.DUMMYFUNCTION("""COMPUTED_VALUE"""),0)</f>
        <v>0</v>
      </c>
      <c r="H40" s="48">
        <f ca="1">IFERROR(__xludf.DUMMYFUNCTION("""COMPUTED_VALUE"""),0)</f>
        <v>0</v>
      </c>
      <c r="I40" s="48">
        <f ca="1">IFERROR(__xludf.DUMMYFUNCTION("""COMPUTED_VALUE"""),0)</f>
        <v>0</v>
      </c>
      <c r="J40" s="48">
        <f ca="1">IFERROR(__xludf.DUMMYFUNCTION("""COMPUTED_VALUE"""),0)</f>
        <v>0</v>
      </c>
      <c r="K40" s="48">
        <f ca="1">IFERROR(__xludf.DUMMYFUNCTION("""COMPUTED_VALUE"""),0)</f>
        <v>0</v>
      </c>
      <c r="L40" s="48">
        <f ca="1">IFERROR(__xludf.DUMMYFUNCTION("""COMPUTED_VALUE"""),0)</f>
        <v>0</v>
      </c>
      <c r="M40" s="48">
        <f ca="1">IFERROR(__xludf.DUMMYFUNCTION("""COMPUTED_VALUE"""),0)</f>
        <v>0</v>
      </c>
      <c r="N40" s="48">
        <f ca="1">IFERROR(__xludf.DUMMYFUNCTION("""COMPUTED_VALUE"""),0)</f>
        <v>0</v>
      </c>
      <c r="O40" s="48">
        <f ca="1">IFERROR(__xludf.DUMMYFUNCTION("""COMPUTED_VALUE"""),0)</f>
        <v>0</v>
      </c>
      <c r="P40" s="48">
        <f ca="1">IFERROR(__xludf.DUMMYFUNCTION("""COMPUTED_VALUE"""),0)</f>
        <v>0</v>
      </c>
      <c r="Q40" s="48">
        <f ca="1">IFERROR(__xludf.DUMMYFUNCTION("""COMPUTED_VALUE"""),0)</f>
        <v>0</v>
      </c>
      <c r="R40" s="48">
        <f ca="1">IFERROR(__xludf.DUMMYFUNCTION("""COMPUTED_VALUE"""),0)</f>
        <v>0</v>
      </c>
      <c r="S40" s="48">
        <f ca="1">IFERROR(__xludf.DUMMYFUNCTION("""COMPUTED_VALUE"""),0)</f>
        <v>0</v>
      </c>
    </row>
    <row r="41" spans="1:19">
      <c r="A41" s="46" t="str">
        <f ca="1">IFERROR(__xludf.DUMMYFUNCTION("""COMPUTED_VALUE"""),"MOTOCICLETAS OFICIALES")</f>
        <v>MOTOCICLETAS OFICIALES</v>
      </c>
      <c r="B41" s="46">
        <f ca="1">IFERROR(__xludf.DUMMYFUNCTION("""COMPUTED_VALUE"""),1)</f>
        <v>1</v>
      </c>
      <c r="C41" s="46"/>
      <c r="D41" s="46" t="str">
        <f ca="1">IFERROR(__xludf.DUMMYFUNCTION("""COMPUTED_VALUE"""),"ASCENDENTE")</f>
        <v>ASCENDENTE</v>
      </c>
      <c r="E41" s="46" t="str">
        <f ca="1">IFERROR(__xludf.DUMMYFUNCTION("""COMPUTED_VALUE"""),"BITACORA OPERATIVA")</f>
        <v>BITACORA OPERATIVA</v>
      </c>
      <c r="F41" s="47">
        <f ca="1">IFERROR(__xludf.DUMMYFUNCTION("""COMPUTED_VALUE"""),0)</f>
        <v>0</v>
      </c>
      <c r="G41" s="48">
        <f ca="1">IFERROR(__xludf.DUMMYFUNCTION("""COMPUTED_VALUE"""),0)</f>
        <v>0</v>
      </c>
      <c r="H41" s="48">
        <f ca="1">IFERROR(__xludf.DUMMYFUNCTION("""COMPUTED_VALUE"""),0)</f>
        <v>0</v>
      </c>
      <c r="I41" s="48">
        <f ca="1">IFERROR(__xludf.DUMMYFUNCTION("""COMPUTED_VALUE"""),0)</f>
        <v>0</v>
      </c>
      <c r="J41" s="48">
        <f ca="1">IFERROR(__xludf.DUMMYFUNCTION("""COMPUTED_VALUE"""),0)</f>
        <v>0</v>
      </c>
      <c r="K41" s="48">
        <f ca="1">IFERROR(__xludf.DUMMYFUNCTION("""COMPUTED_VALUE"""),0)</f>
        <v>0</v>
      </c>
      <c r="L41" s="48">
        <f ca="1">IFERROR(__xludf.DUMMYFUNCTION("""COMPUTED_VALUE"""),0)</f>
        <v>0</v>
      </c>
      <c r="M41" s="48">
        <f ca="1">IFERROR(__xludf.DUMMYFUNCTION("""COMPUTED_VALUE"""),0)</f>
        <v>0</v>
      </c>
      <c r="N41" s="48">
        <f ca="1">IFERROR(__xludf.DUMMYFUNCTION("""COMPUTED_VALUE"""),0)</f>
        <v>0</v>
      </c>
      <c r="O41" s="48">
        <f ca="1">IFERROR(__xludf.DUMMYFUNCTION("""COMPUTED_VALUE"""),0)</f>
        <v>0</v>
      </c>
      <c r="P41" s="48">
        <f ca="1">IFERROR(__xludf.DUMMYFUNCTION("""COMPUTED_VALUE"""),0)</f>
        <v>0</v>
      </c>
      <c r="Q41" s="48">
        <f ca="1">IFERROR(__xludf.DUMMYFUNCTION("""COMPUTED_VALUE"""),0)</f>
        <v>0</v>
      </c>
      <c r="R41" s="48">
        <f ca="1">IFERROR(__xludf.DUMMYFUNCTION("""COMPUTED_VALUE"""),0)</f>
        <v>0</v>
      </c>
      <c r="S41" s="48">
        <f ca="1">IFERROR(__xludf.DUMMYFUNCTION("""COMPUTED_VALUE"""),0)</f>
        <v>0</v>
      </c>
    </row>
    <row r="42" spans="1:19">
      <c r="A42" s="46" t="str">
        <f ca="1">IFERROR(__xludf.DUMMYFUNCTION("""COMPUTED_VALUE"""),"NÚMERO DE VECES QUE CARGARON COMBUSTIBLE")</f>
        <v>NÚMERO DE VECES QUE CARGARON COMBUSTIBLE</v>
      </c>
      <c r="B42" s="46">
        <f ca="1">IFERROR(__xludf.DUMMYFUNCTION("""COMPUTED_VALUE"""),1)</f>
        <v>1</v>
      </c>
      <c r="C42" s="46"/>
      <c r="D42" s="46" t="str">
        <f ca="1">IFERROR(__xludf.DUMMYFUNCTION("""COMPUTED_VALUE"""),"ASCENDENTE")</f>
        <v>ASCENDENTE</v>
      </c>
      <c r="E42" s="46" t="str">
        <f ca="1">IFERROR(__xludf.DUMMYFUNCTION("""COMPUTED_VALUE"""),"BITACORA OPERATIVA")</f>
        <v>BITACORA OPERATIVA</v>
      </c>
      <c r="F42" s="47">
        <f ca="1">IFERROR(__xludf.DUMMYFUNCTION("""COMPUTED_VALUE"""),0)</f>
        <v>0</v>
      </c>
      <c r="G42" s="48">
        <f ca="1">IFERROR(__xludf.DUMMYFUNCTION("""COMPUTED_VALUE"""),0)</f>
        <v>0</v>
      </c>
      <c r="H42" s="48">
        <f ca="1">IFERROR(__xludf.DUMMYFUNCTION("""COMPUTED_VALUE"""),0)</f>
        <v>0</v>
      </c>
      <c r="I42" s="48">
        <f ca="1">IFERROR(__xludf.DUMMYFUNCTION("""COMPUTED_VALUE"""),0)</f>
        <v>0</v>
      </c>
      <c r="J42" s="48">
        <f ca="1">IFERROR(__xludf.DUMMYFUNCTION("""COMPUTED_VALUE"""),0)</f>
        <v>0</v>
      </c>
      <c r="K42" s="48">
        <f ca="1">IFERROR(__xludf.DUMMYFUNCTION("""COMPUTED_VALUE"""),0)</f>
        <v>0</v>
      </c>
      <c r="L42" s="48">
        <f ca="1">IFERROR(__xludf.DUMMYFUNCTION("""COMPUTED_VALUE"""),0)</f>
        <v>0</v>
      </c>
      <c r="M42" s="48">
        <f ca="1">IFERROR(__xludf.DUMMYFUNCTION("""COMPUTED_VALUE"""),0)</f>
        <v>0</v>
      </c>
      <c r="N42" s="48">
        <f ca="1">IFERROR(__xludf.DUMMYFUNCTION("""COMPUTED_VALUE"""),0)</f>
        <v>0</v>
      </c>
      <c r="O42" s="48">
        <f ca="1">IFERROR(__xludf.DUMMYFUNCTION("""COMPUTED_VALUE"""),0)</f>
        <v>0</v>
      </c>
      <c r="P42" s="48">
        <f ca="1">IFERROR(__xludf.DUMMYFUNCTION("""COMPUTED_VALUE"""),0)</f>
        <v>0</v>
      </c>
      <c r="Q42" s="48">
        <f ca="1">IFERROR(__xludf.DUMMYFUNCTION("""COMPUTED_VALUE"""),0)</f>
        <v>0</v>
      </c>
      <c r="R42" s="48">
        <f ca="1">IFERROR(__xludf.DUMMYFUNCTION("""COMPUTED_VALUE"""),0)</f>
        <v>0</v>
      </c>
      <c r="S42" s="48">
        <f ca="1">IFERROR(__xludf.DUMMYFUNCTION("""COMPUTED_VALUE"""),0)</f>
        <v>0</v>
      </c>
    </row>
    <row r="43" spans="1:19">
      <c r="A43" s="46" t="str">
        <f ca="1">IFERROR(__xludf.DUMMYFUNCTION("""COMPUTED_VALUE"""),"TOTAL DE LITROS DE GASOLINA DESPACHADA")</f>
        <v>TOTAL DE LITROS DE GASOLINA DESPACHADA</v>
      </c>
      <c r="B43" s="46">
        <f ca="1">IFERROR(__xludf.DUMMYFUNCTION("""COMPUTED_VALUE"""),1)</f>
        <v>1</v>
      </c>
      <c r="C43" s="46"/>
      <c r="D43" s="46" t="str">
        <f ca="1">IFERROR(__xludf.DUMMYFUNCTION("""COMPUTED_VALUE"""),"ASCENDENTE")</f>
        <v>ASCENDENTE</v>
      </c>
      <c r="E43" s="46" t="str">
        <f ca="1">IFERROR(__xludf.DUMMYFUNCTION("""COMPUTED_VALUE"""),"BITACORA OPERATIVA")</f>
        <v>BITACORA OPERATIVA</v>
      </c>
      <c r="F43" s="47">
        <f ca="1">IFERROR(__xludf.DUMMYFUNCTION("""COMPUTED_VALUE"""),0)</f>
        <v>0</v>
      </c>
      <c r="G43" s="48">
        <f ca="1">IFERROR(__xludf.DUMMYFUNCTION("""COMPUTED_VALUE"""),0)</f>
        <v>0</v>
      </c>
      <c r="H43" s="48">
        <f ca="1">IFERROR(__xludf.DUMMYFUNCTION("""COMPUTED_VALUE"""),0)</f>
        <v>0</v>
      </c>
      <c r="I43" s="48">
        <f ca="1">IFERROR(__xludf.DUMMYFUNCTION("""COMPUTED_VALUE"""),0)</f>
        <v>0</v>
      </c>
      <c r="J43" s="48">
        <f ca="1">IFERROR(__xludf.DUMMYFUNCTION("""COMPUTED_VALUE"""),0)</f>
        <v>0</v>
      </c>
      <c r="K43" s="48">
        <f ca="1">IFERROR(__xludf.DUMMYFUNCTION("""COMPUTED_VALUE"""),0)</f>
        <v>0</v>
      </c>
      <c r="L43" s="48">
        <f ca="1">IFERROR(__xludf.DUMMYFUNCTION("""COMPUTED_VALUE"""),0)</f>
        <v>0</v>
      </c>
      <c r="M43" s="48">
        <f ca="1">IFERROR(__xludf.DUMMYFUNCTION("""COMPUTED_VALUE"""),0)</f>
        <v>0</v>
      </c>
      <c r="N43" s="48">
        <f ca="1">IFERROR(__xludf.DUMMYFUNCTION("""COMPUTED_VALUE"""),0)</f>
        <v>0</v>
      </c>
      <c r="O43" s="48">
        <f ca="1">IFERROR(__xludf.DUMMYFUNCTION("""COMPUTED_VALUE"""),0)</f>
        <v>0</v>
      </c>
      <c r="P43" s="48">
        <f ca="1">IFERROR(__xludf.DUMMYFUNCTION("""COMPUTED_VALUE"""),0)</f>
        <v>0</v>
      </c>
      <c r="Q43" s="48">
        <f ca="1">IFERROR(__xludf.DUMMYFUNCTION("""COMPUTED_VALUE"""),0)</f>
        <v>0</v>
      </c>
      <c r="R43" s="48">
        <f ca="1">IFERROR(__xludf.DUMMYFUNCTION("""COMPUTED_VALUE"""),0)</f>
        <v>0</v>
      </c>
      <c r="S43" s="48">
        <f ca="1">IFERROR(__xludf.DUMMYFUNCTION("""COMPUTED_VALUE"""),0)</f>
        <v>0</v>
      </c>
    </row>
    <row r="44" spans="1:19">
      <c r="A44" s="46" t="str">
        <f ca="1">IFERROR(__xludf.DUMMYFUNCTION("""COMPUTED_VALUE"""),"VEHICULOS PARTICULARES")</f>
        <v>VEHICULOS PARTICULARES</v>
      </c>
      <c r="B44" s="46">
        <f ca="1">IFERROR(__xludf.DUMMYFUNCTION("""COMPUTED_VALUE"""),1)</f>
        <v>1</v>
      </c>
      <c r="C44" s="46"/>
      <c r="D44" s="46" t="str">
        <f ca="1">IFERROR(__xludf.DUMMYFUNCTION("""COMPUTED_VALUE"""),"ASCENDENTE")</f>
        <v>ASCENDENTE</v>
      </c>
      <c r="E44" s="46" t="str">
        <f ca="1">IFERROR(__xludf.DUMMYFUNCTION("""COMPUTED_VALUE"""),"BITACORA OPERATIVA")</f>
        <v>BITACORA OPERATIVA</v>
      </c>
      <c r="F44" s="47">
        <f ca="1">IFERROR(__xludf.DUMMYFUNCTION("""COMPUTED_VALUE"""),0)</f>
        <v>0</v>
      </c>
      <c r="G44" s="48">
        <f ca="1">IFERROR(__xludf.DUMMYFUNCTION("""COMPUTED_VALUE"""),0)</f>
        <v>0</v>
      </c>
      <c r="H44" s="48">
        <f ca="1">IFERROR(__xludf.DUMMYFUNCTION("""COMPUTED_VALUE"""),0)</f>
        <v>0</v>
      </c>
      <c r="I44" s="48">
        <f ca="1">IFERROR(__xludf.DUMMYFUNCTION("""COMPUTED_VALUE"""),0)</f>
        <v>0</v>
      </c>
      <c r="J44" s="48">
        <f ca="1">IFERROR(__xludf.DUMMYFUNCTION("""COMPUTED_VALUE"""),0)</f>
        <v>0</v>
      </c>
      <c r="K44" s="48">
        <f ca="1">IFERROR(__xludf.DUMMYFUNCTION("""COMPUTED_VALUE"""),0)</f>
        <v>0</v>
      </c>
      <c r="L44" s="48">
        <f ca="1">IFERROR(__xludf.DUMMYFUNCTION("""COMPUTED_VALUE"""),0)</f>
        <v>0</v>
      </c>
      <c r="M44" s="48">
        <f ca="1">IFERROR(__xludf.DUMMYFUNCTION("""COMPUTED_VALUE"""),0)</f>
        <v>0</v>
      </c>
      <c r="N44" s="48">
        <f ca="1">IFERROR(__xludf.DUMMYFUNCTION("""COMPUTED_VALUE"""),0)</f>
        <v>0</v>
      </c>
      <c r="O44" s="48">
        <f ca="1">IFERROR(__xludf.DUMMYFUNCTION("""COMPUTED_VALUE"""),0)</f>
        <v>0</v>
      </c>
      <c r="P44" s="48">
        <f ca="1">IFERROR(__xludf.DUMMYFUNCTION("""COMPUTED_VALUE"""),0)</f>
        <v>0</v>
      </c>
      <c r="Q44" s="48">
        <f ca="1">IFERROR(__xludf.DUMMYFUNCTION("""COMPUTED_VALUE"""),0)</f>
        <v>0</v>
      </c>
      <c r="R44" s="48">
        <f ca="1">IFERROR(__xludf.DUMMYFUNCTION("""COMPUTED_VALUE"""),0)</f>
        <v>0</v>
      </c>
      <c r="S44" s="48">
        <f ca="1">IFERROR(__xludf.DUMMYFUNCTION("""COMPUTED_VALUE"""),0)</f>
        <v>0</v>
      </c>
    </row>
    <row r="45" spans="1:19">
      <c r="A45" s="46" t="str">
        <f ca="1">IFERROR(__xludf.DUMMYFUNCTION("""COMPUTED_VALUE"""),"NÚMERO DE VECES QUE CARGARON COMBUSTIBLE")</f>
        <v>NÚMERO DE VECES QUE CARGARON COMBUSTIBLE</v>
      </c>
      <c r="B45" s="46">
        <f ca="1">IFERROR(__xludf.DUMMYFUNCTION("""COMPUTED_VALUE"""),1)</f>
        <v>1</v>
      </c>
      <c r="C45" s="46"/>
      <c r="D45" s="46" t="str">
        <f ca="1">IFERROR(__xludf.DUMMYFUNCTION("""COMPUTED_VALUE"""),"ASCENDENTE")</f>
        <v>ASCENDENTE</v>
      </c>
      <c r="E45" s="46" t="str">
        <f ca="1">IFERROR(__xludf.DUMMYFUNCTION("""COMPUTED_VALUE"""),"BITACORA OPERATIVA")</f>
        <v>BITACORA OPERATIVA</v>
      </c>
      <c r="F45" s="47">
        <f ca="1">IFERROR(__xludf.DUMMYFUNCTION("""COMPUTED_VALUE"""),0)</f>
        <v>0</v>
      </c>
      <c r="G45" s="48">
        <f ca="1">IFERROR(__xludf.DUMMYFUNCTION("""COMPUTED_VALUE"""),0)</f>
        <v>0</v>
      </c>
      <c r="H45" s="48">
        <f ca="1">IFERROR(__xludf.DUMMYFUNCTION("""COMPUTED_VALUE"""),0)</f>
        <v>0</v>
      </c>
      <c r="I45" s="48">
        <f ca="1">IFERROR(__xludf.DUMMYFUNCTION("""COMPUTED_VALUE"""),0)</f>
        <v>0</v>
      </c>
      <c r="J45" s="48">
        <f ca="1">IFERROR(__xludf.DUMMYFUNCTION("""COMPUTED_VALUE"""),0)</f>
        <v>0</v>
      </c>
      <c r="K45" s="48">
        <f ca="1">IFERROR(__xludf.DUMMYFUNCTION("""COMPUTED_VALUE"""),0)</f>
        <v>0</v>
      </c>
      <c r="L45" s="48">
        <f ca="1">IFERROR(__xludf.DUMMYFUNCTION("""COMPUTED_VALUE"""),0)</f>
        <v>0</v>
      </c>
      <c r="M45" s="48">
        <f ca="1">IFERROR(__xludf.DUMMYFUNCTION("""COMPUTED_VALUE"""),0)</f>
        <v>0</v>
      </c>
      <c r="N45" s="48">
        <f ca="1">IFERROR(__xludf.DUMMYFUNCTION("""COMPUTED_VALUE"""),0)</f>
        <v>0</v>
      </c>
      <c r="O45" s="48">
        <f ca="1">IFERROR(__xludf.DUMMYFUNCTION("""COMPUTED_VALUE"""),0)</f>
        <v>0</v>
      </c>
      <c r="P45" s="48">
        <f ca="1">IFERROR(__xludf.DUMMYFUNCTION("""COMPUTED_VALUE"""),0)</f>
        <v>0</v>
      </c>
      <c r="Q45" s="48">
        <f ca="1">IFERROR(__xludf.DUMMYFUNCTION("""COMPUTED_VALUE"""),0)</f>
        <v>0</v>
      </c>
      <c r="R45" s="48">
        <f ca="1">IFERROR(__xludf.DUMMYFUNCTION("""COMPUTED_VALUE"""),0)</f>
        <v>0</v>
      </c>
      <c r="S45" s="48">
        <f ca="1">IFERROR(__xludf.DUMMYFUNCTION("""COMPUTED_VALUE"""),0)</f>
        <v>0</v>
      </c>
    </row>
    <row r="46" spans="1:19">
      <c r="A46" s="46" t="str">
        <f ca="1">IFERROR(__xludf.DUMMYFUNCTION("""COMPUTED_VALUE"""),"TOTAL DE LITROS DE GASOLINA DESPACHADA")</f>
        <v>TOTAL DE LITROS DE GASOLINA DESPACHADA</v>
      </c>
      <c r="B46" s="46">
        <f ca="1">IFERROR(__xludf.DUMMYFUNCTION("""COMPUTED_VALUE"""),1)</f>
        <v>1</v>
      </c>
      <c r="C46" s="46"/>
      <c r="D46" s="46" t="str">
        <f ca="1">IFERROR(__xludf.DUMMYFUNCTION("""COMPUTED_VALUE"""),"ASCENDENTE")</f>
        <v>ASCENDENTE</v>
      </c>
      <c r="E46" s="46" t="str">
        <f ca="1">IFERROR(__xludf.DUMMYFUNCTION("""COMPUTED_VALUE"""),"BITACORA OPERATIVA")</f>
        <v>BITACORA OPERATIVA</v>
      </c>
      <c r="F46" s="47">
        <f ca="1">IFERROR(__xludf.DUMMYFUNCTION("""COMPUTED_VALUE"""),0)</f>
        <v>0</v>
      </c>
      <c r="G46" s="48">
        <f ca="1">IFERROR(__xludf.DUMMYFUNCTION("""COMPUTED_VALUE"""),0)</f>
        <v>0</v>
      </c>
      <c r="H46" s="48">
        <f ca="1">IFERROR(__xludf.DUMMYFUNCTION("""COMPUTED_VALUE"""),0)</f>
        <v>0</v>
      </c>
      <c r="I46" s="48">
        <f ca="1">IFERROR(__xludf.DUMMYFUNCTION("""COMPUTED_VALUE"""),0)</f>
        <v>0</v>
      </c>
      <c r="J46" s="48">
        <f ca="1">IFERROR(__xludf.DUMMYFUNCTION("""COMPUTED_VALUE"""),0)</f>
        <v>0</v>
      </c>
      <c r="K46" s="48">
        <f ca="1">IFERROR(__xludf.DUMMYFUNCTION("""COMPUTED_VALUE"""),0)</f>
        <v>0</v>
      </c>
      <c r="L46" s="48">
        <f ca="1">IFERROR(__xludf.DUMMYFUNCTION("""COMPUTED_VALUE"""),0)</f>
        <v>0</v>
      </c>
      <c r="M46" s="48">
        <f ca="1">IFERROR(__xludf.DUMMYFUNCTION("""COMPUTED_VALUE"""),0)</f>
        <v>0</v>
      </c>
      <c r="N46" s="48">
        <f ca="1">IFERROR(__xludf.DUMMYFUNCTION("""COMPUTED_VALUE"""),0)</f>
        <v>0</v>
      </c>
      <c r="O46" s="48">
        <f ca="1">IFERROR(__xludf.DUMMYFUNCTION("""COMPUTED_VALUE"""),0)</f>
        <v>0</v>
      </c>
      <c r="P46" s="48">
        <f ca="1">IFERROR(__xludf.DUMMYFUNCTION("""COMPUTED_VALUE"""),0)</f>
        <v>0</v>
      </c>
      <c r="Q46" s="48">
        <f ca="1">IFERROR(__xludf.DUMMYFUNCTION("""COMPUTED_VALUE"""),0)</f>
        <v>0</v>
      </c>
      <c r="R46" s="48">
        <f ca="1">IFERROR(__xludf.DUMMYFUNCTION("""COMPUTED_VALUE"""),0)</f>
        <v>0</v>
      </c>
      <c r="S46" s="48">
        <f ca="1">IFERROR(__xludf.DUMMYFUNCTION("""COMPUTED_VALUE"""),0)</f>
        <v>0</v>
      </c>
    </row>
    <row r="47" spans="1:19">
      <c r="A47" s="46" t="str">
        <f ca="1">IFERROR(__xludf.DUMMYFUNCTION("""COMPUTED_VALUE"""),"MOTOCICLETAS PARTICULARES")</f>
        <v>MOTOCICLETAS PARTICULARES</v>
      </c>
      <c r="B47" s="46">
        <f ca="1">IFERROR(__xludf.DUMMYFUNCTION("""COMPUTED_VALUE"""),1)</f>
        <v>1</v>
      </c>
      <c r="C47" s="46"/>
      <c r="D47" s="46" t="str">
        <f ca="1">IFERROR(__xludf.DUMMYFUNCTION("""COMPUTED_VALUE"""),"ASCENDENTE")</f>
        <v>ASCENDENTE</v>
      </c>
      <c r="E47" s="46" t="str">
        <f ca="1">IFERROR(__xludf.DUMMYFUNCTION("""COMPUTED_VALUE"""),"BITACORA OPERATIVA")</f>
        <v>BITACORA OPERATIVA</v>
      </c>
      <c r="F47" s="47">
        <f ca="1">IFERROR(__xludf.DUMMYFUNCTION("""COMPUTED_VALUE"""),0)</f>
        <v>0</v>
      </c>
      <c r="G47" s="48">
        <f ca="1">IFERROR(__xludf.DUMMYFUNCTION("""COMPUTED_VALUE"""),0)</f>
        <v>0</v>
      </c>
      <c r="H47" s="48">
        <f ca="1">IFERROR(__xludf.DUMMYFUNCTION("""COMPUTED_VALUE"""),0)</f>
        <v>0</v>
      </c>
      <c r="I47" s="48">
        <f ca="1">IFERROR(__xludf.DUMMYFUNCTION("""COMPUTED_VALUE"""),0)</f>
        <v>0</v>
      </c>
      <c r="J47" s="48">
        <f ca="1">IFERROR(__xludf.DUMMYFUNCTION("""COMPUTED_VALUE"""),0)</f>
        <v>0</v>
      </c>
      <c r="K47" s="48">
        <f ca="1">IFERROR(__xludf.DUMMYFUNCTION("""COMPUTED_VALUE"""),0)</f>
        <v>0</v>
      </c>
      <c r="L47" s="48">
        <f ca="1">IFERROR(__xludf.DUMMYFUNCTION("""COMPUTED_VALUE"""),0)</f>
        <v>0</v>
      </c>
      <c r="M47" s="48">
        <f ca="1">IFERROR(__xludf.DUMMYFUNCTION("""COMPUTED_VALUE"""),0)</f>
        <v>0</v>
      </c>
      <c r="N47" s="48">
        <f ca="1">IFERROR(__xludf.DUMMYFUNCTION("""COMPUTED_VALUE"""),0)</f>
        <v>0</v>
      </c>
      <c r="O47" s="48">
        <f ca="1">IFERROR(__xludf.DUMMYFUNCTION("""COMPUTED_VALUE"""),0)</f>
        <v>0</v>
      </c>
      <c r="P47" s="48">
        <f ca="1">IFERROR(__xludf.DUMMYFUNCTION("""COMPUTED_VALUE"""),0)</f>
        <v>0</v>
      </c>
      <c r="Q47" s="48">
        <f ca="1">IFERROR(__xludf.DUMMYFUNCTION("""COMPUTED_VALUE"""),0)</f>
        <v>0</v>
      </c>
      <c r="R47" s="48">
        <f ca="1">IFERROR(__xludf.DUMMYFUNCTION("""COMPUTED_VALUE"""),0)</f>
        <v>0</v>
      </c>
      <c r="S47" s="48">
        <f ca="1">IFERROR(__xludf.DUMMYFUNCTION("""COMPUTED_VALUE"""),0)</f>
        <v>0</v>
      </c>
    </row>
    <row r="48" spans="1:19">
      <c r="A48" s="46" t="str">
        <f ca="1">IFERROR(__xludf.DUMMYFUNCTION("""COMPUTED_VALUE"""),"NÚMERO DE VECES QUE CARGARON COMBUSTIBLE")</f>
        <v>NÚMERO DE VECES QUE CARGARON COMBUSTIBLE</v>
      </c>
      <c r="B48" s="46">
        <f ca="1">IFERROR(__xludf.DUMMYFUNCTION("""COMPUTED_VALUE"""),1)</f>
        <v>1</v>
      </c>
      <c r="C48" s="46"/>
      <c r="D48" s="46" t="str">
        <f ca="1">IFERROR(__xludf.DUMMYFUNCTION("""COMPUTED_VALUE"""),"ASCENDENTE")</f>
        <v>ASCENDENTE</v>
      </c>
      <c r="E48" s="46" t="str">
        <f ca="1">IFERROR(__xludf.DUMMYFUNCTION("""COMPUTED_VALUE"""),"BITACORA OPERATIVA")</f>
        <v>BITACORA OPERATIVA</v>
      </c>
      <c r="F48" s="47">
        <f ca="1">IFERROR(__xludf.DUMMYFUNCTION("""COMPUTED_VALUE"""),0)</f>
        <v>0</v>
      </c>
      <c r="G48" s="48">
        <f ca="1">IFERROR(__xludf.DUMMYFUNCTION("""COMPUTED_VALUE"""),0)</f>
        <v>0</v>
      </c>
      <c r="H48" s="48">
        <f ca="1">IFERROR(__xludf.DUMMYFUNCTION("""COMPUTED_VALUE"""),0)</f>
        <v>0</v>
      </c>
      <c r="I48" s="48">
        <f ca="1">IFERROR(__xludf.DUMMYFUNCTION("""COMPUTED_VALUE"""),0)</f>
        <v>0</v>
      </c>
      <c r="J48" s="48">
        <f ca="1">IFERROR(__xludf.DUMMYFUNCTION("""COMPUTED_VALUE"""),0)</f>
        <v>0</v>
      </c>
      <c r="K48" s="48">
        <f ca="1">IFERROR(__xludf.DUMMYFUNCTION("""COMPUTED_VALUE"""),0)</f>
        <v>0</v>
      </c>
      <c r="L48" s="48">
        <f ca="1">IFERROR(__xludf.DUMMYFUNCTION("""COMPUTED_VALUE"""),0)</f>
        <v>0</v>
      </c>
      <c r="M48" s="48">
        <f ca="1">IFERROR(__xludf.DUMMYFUNCTION("""COMPUTED_VALUE"""),0)</f>
        <v>0</v>
      </c>
      <c r="N48" s="48">
        <f ca="1">IFERROR(__xludf.DUMMYFUNCTION("""COMPUTED_VALUE"""),0)</f>
        <v>0</v>
      </c>
      <c r="O48" s="48">
        <f ca="1">IFERROR(__xludf.DUMMYFUNCTION("""COMPUTED_VALUE"""),0)</f>
        <v>0</v>
      </c>
      <c r="P48" s="48">
        <f ca="1">IFERROR(__xludf.DUMMYFUNCTION("""COMPUTED_VALUE"""),0)</f>
        <v>0</v>
      </c>
      <c r="Q48" s="48">
        <f ca="1">IFERROR(__xludf.DUMMYFUNCTION("""COMPUTED_VALUE"""),0)</f>
        <v>0</v>
      </c>
      <c r="R48" s="48">
        <f ca="1">IFERROR(__xludf.DUMMYFUNCTION("""COMPUTED_VALUE"""),0)</f>
        <v>0</v>
      </c>
      <c r="S48" s="48">
        <f ca="1">IFERROR(__xludf.DUMMYFUNCTION("""COMPUTED_VALUE"""),0)</f>
        <v>0</v>
      </c>
    </row>
    <row r="49" spans="1:19">
      <c r="A49" s="46" t="str">
        <f ca="1">IFERROR(__xludf.DUMMYFUNCTION("""COMPUTED_VALUE"""),"TOTAL DE LITROS DE GASOLINA DESPACHADA")</f>
        <v>TOTAL DE LITROS DE GASOLINA DESPACHADA</v>
      </c>
      <c r="B49" s="46">
        <f ca="1">IFERROR(__xludf.DUMMYFUNCTION("""COMPUTED_VALUE"""),1)</f>
        <v>1</v>
      </c>
      <c r="C49" s="46"/>
      <c r="D49" s="46" t="str">
        <f ca="1">IFERROR(__xludf.DUMMYFUNCTION("""COMPUTED_VALUE"""),"ASCENDENTE")</f>
        <v>ASCENDENTE</v>
      </c>
      <c r="E49" s="46" t="str">
        <f ca="1">IFERROR(__xludf.DUMMYFUNCTION("""COMPUTED_VALUE"""),"BITACORA OPERATIVA")</f>
        <v>BITACORA OPERATIVA</v>
      </c>
      <c r="F49" s="47">
        <f ca="1">IFERROR(__xludf.DUMMYFUNCTION("""COMPUTED_VALUE"""),0)</f>
        <v>0</v>
      </c>
      <c r="G49" s="48">
        <f ca="1">IFERROR(__xludf.DUMMYFUNCTION("""COMPUTED_VALUE"""),0)</f>
        <v>0</v>
      </c>
      <c r="H49" s="48">
        <f ca="1">IFERROR(__xludf.DUMMYFUNCTION("""COMPUTED_VALUE"""),0)</f>
        <v>0</v>
      </c>
      <c r="I49" s="48">
        <f ca="1">IFERROR(__xludf.DUMMYFUNCTION("""COMPUTED_VALUE"""),0)</f>
        <v>0</v>
      </c>
      <c r="J49" s="48">
        <f ca="1">IFERROR(__xludf.DUMMYFUNCTION("""COMPUTED_VALUE"""),0)</f>
        <v>0</v>
      </c>
      <c r="K49" s="48">
        <f ca="1">IFERROR(__xludf.DUMMYFUNCTION("""COMPUTED_VALUE"""),0)</f>
        <v>0</v>
      </c>
      <c r="L49" s="48">
        <f ca="1">IFERROR(__xludf.DUMMYFUNCTION("""COMPUTED_VALUE"""),0)</f>
        <v>0</v>
      </c>
      <c r="M49" s="48">
        <f ca="1">IFERROR(__xludf.DUMMYFUNCTION("""COMPUTED_VALUE"""),0)</f>
        <v>0</v>
      </c>
      <c r="N49" s="48">
        <f ca="1">IFERROR(__xludf.DUMMYFUNCTION("""COMPUTED_VALUE"""),0)</f>
        <v>0</v>
      </c>
      <c r="O49" s="48">
        <f ca="1">IFERROR(__xludf.DUMMYFUNCTION("""COMPUTED_VALUE"""),0)</f>
        <v>0</v>
      </c>
      <c r="P49" s="48">
        <f ca="1">IFERROR(__xludf.DUMMYFUNCTION("""COMPUTED_VALUE"""),0)</f>
        <v>0</v>
      </c>
      <c r="Q49" s="48">
        <f ca="1">IFERROR(__xludf.DUMMYFUNCTION("""COMPUTED_VALUE"""),0)</f>
        <v>0</v>
      </c>
      <c r="R49" s="48">
        <f ca="1">IFERROR(__xludf.DUMMYFUNCTION("""COMPUTED_VALUE"""),0)</f>
        <v>0</v>
      </c>
      <c r="S49" s="48">
        <f ca="1">IFERROR(__xludf.DUMMYFUNCTION("""COMPUTED_VALUE"""),0)</f>
        <v>0</v>
      </c>
    </row>
    <row r="50" spans="1:19">
      <c r="A50" s="46" t="str">
        <f ca="1">IFERROR(__xludf.DUMMYFUNCTION("""COMPUTED_VALUE"""),"TOTAL  DE  NOTAS PARA FACTURAR")</f>
        <v>TOTAL  DE  NOTAS PARA FACTURAR</v>
      </c>
      <c r="B50" s="46">
        <f ca="1">IFERROR(__xludf.DUMMYFUNCTION("""COMPUTED_VALUE"""),1)</f>
        <v>1</v>
      </c>
      <c r="C50" s="46"/>
      <c r="D50" s="46" t="str">
        <f ca="1">IFERROR(__xludf.DUMMYFUNCTION("""COMPUTED_VALUE"""),"ASCENDENTE")</f>
        <v>ASCENDENTE</v>
      </c>
      <c r="E50" s="46" t="str">
        <f ca="1">IFERROR(__xludf.DUMMYFUNCTION("""COMPUTED_VALUE"""),"BITACORA OPERATIVA")</f>
        <v>BITACORA OPERATIVA</v>
      </c>
      <c r="F50" s="47">
        <f ca="1">IFERROR(__xludf.DUMMYFUNCTION("""COMPUTED_VALUE"""),0)</f>
        <v>0</v>
      </c>
      <c r="G50" s="48">
        <f ca="1">IFERROR(__xludf.DUMMYFUNCTION("""COMPUTED_VALUE"""),0)</f>
        <v>0</v>
      </c>
      <c r="H50" s="48">
        <f ca="1">IFERROR(__xludf.DUMMYFUNCTION("""COMPUTED_VALUE"""),0)</f>
        <v>0</v>
      </c>
      <c r="I50" s="48">
        <f ca="1">IFERROR(__xludf.DUMMYFUNCTION("""COMPUTED_VALUE"""),0)</f>
        <v>0</v>
      </c>
      <c r="J50" s="48">
        <f ca="1">IFERROR(__xludf.DUMMYFUNCTION("""COMPUTED_VALUE"""),0)</f>
        <v>0</v>
      </c>
      <c r="K50" s="48">
        <f ca="1">IFERROR(__xludf.DUMMYFUNCTION("""COMPUTED_VALUE"""),0)</f>
        <v>0</v>
      </c>
      <c r="L50" s="48">
        <f ca="1">IFERROR(__xludf.DUMMYFUNCTION("""COMPUTED_VALUE"""),0)</f>
        <v>0</v>
      </c>
      <c r="M50" s="48">
        <f ca="1">IFERROR(__xludf.DUMMYFUNCTION("""COMPUTED_VALUE"""),0)</f>
        <v>0</v>
      </c>
      <c r="N50" s="48">
        <f ca="1">IFERROR(__xludf.DUMMYFUNCTION("""COMPUTED_VALUE"""),0)</f>
        <v>0</v>
      </c>
      <c r="O50" s="48">
        <f ca="1">IFERROR(__xludf.DUMMYFUNCTION("""COMPUTED_VALUE"""),0)</f>
        <v>0</v>
      </c>
      <c r="P50" s="48">
        <f ca="1">IFERROR(__xludf.DUMMYFUNCTION("""COMPUTED_VALUE"""),0)</f>
        <v>0</v>
      </c>
      <c r="Q50" s="48">
        <f ca="1">IFERROR(__xludf.DUMMYFUNCTION("""COMPUTED_VALUE"""),0)</f>
        <v>0</v>
      </c>
      <c r="R50" s="48">
        <f ca="1">IFERROR(__xludf.DUMMYFUNCTION("""COMPUTED_VALUE"""),0)</f>
        <v>0</v>
      </c>
      <c r="S50" s="48">
        <f ca="1">IFERROR(__xludf.DUMMYFUNCTION("""COMPUTED_VALUE"""),0)</f>
        <v>0</v>
      </c>
    </row>
    <row r="51" spans="1:19">
      <c r="A51" s="46" t="str">
        <f ca="1">IFERROR(__xludf.DUMMYFUNCTION("""COMPUTED_VALUE"""),"MONTO MENSUAL A PAGAR (EN PESOS)")</f>
        <v>MONTO MENSUAL A PAGAR (EN PESOS)</v>
      </c>
      <c r="B51" s="46">
        <f ca="1">IFERROR(__xludf.DUMMYFUNCTION("""COMPUTED_VALUE"""),1)</f>
        <v>1</v>
      </c>
      <c r="C51" s="46"/>
      <c r="D51" s="46" t="str">
        <f ca="1">IFERROR(__xludf.DUMMYFUNCTION("""COMPUTED_VALUE"""),"ASCENDENTE")</f>
        <v>ASCENDENTE</v>
      </c>
      <c r="E51" s="46" t="str">
        <f ca="1">IFERROR(__xludf.DUMMYFUNCTION("""COMPUTED_VALUE"""),"BITACORA OPERATIVA")</f>
        <v>BITACORA OPERATIVA</v>
      </c>
      <c r="F51" s="47">
        <f ca="1">IFERROR(__xludf.DUMMYFUNCTION("""COMPUTED_VALUE"""),0)</f>
        <v>0</v>
      </c>
      <c r="G51" s="48">
        <f ca="1">IFERROR(__xludf.DUMMYFUNCTION("""COMPUTED_VALUE"""),0)</f>
        <v>0</v>
      </c>
      <c r="H51" s="48">
        <f ca="1">IFERROR(__xludf.DUMMYFUNCTION("""COMPUTED_VALUE"""),0)</f>
        <v>0</v>
      </c>
      <c r="I51" s="48">
        <f ca="1">IFERROR(__xludf.DUMMYFUNCTION("""COMPUTED_VALUE"""),0)</f>
        <v>0</v>
      </c>
      <c r="J51" s="48">
        <f ca="1">IFERROR(__xludf.DUMMYFUNCTION("""COMPUTED_VALUE"""),0)</f>
        <v>0</v>
      </c>
      <c r="K51" s="48">
        <f ca="1">IFERROR(__xludf.DUMMYFUNCTION("""COMPUTED_VALUE"""),0)</f>
        <v>0</v>
      </c>
      <c r="L51" s="48">
        <f ca="1">IFERROR(__xludf.DUMMYFUNCTION("""COMPUTED_VALUE"""),0)</f>
        <v>0</v>
      </c>
      <c r="M51" s="48">
        <f ca="1">IFERROR(__xludf.DUMMYFUNCTION("""COMPUTED_VALUE"""),0)</f>
        <v>0</v>
      </c>
      <c r="N51" s="48">
        <f ca="1">IFERROR(__xludf.DUMMYFUNCTION("""COMPUTED_VALUE"""),0)</f>
        <v>0</v>
      </c>
      <c r="O51" s="48">
        <f ca="1">IFERROR(__xludf.DUMMYFUNCTION("""COMPUTED_VALUE"""),0)</f>
        <v>0</v>
      </c>
      <c r="P51" s="48">
        <f ca="1">IFERROR(__xludf.DUMMYFUNCTION("""COMPUTED_VALUE"""),0)</f>
        <v>0</v>
      </c>
      <c r="Q51" s="48">
        <f ca="1">IFERROR(__xludf.DUMMYFUNCTION("""COMPUTED_VALUE"""),0)</f>
        <v>0</v>
      </c>
      <c r="R51" s="48">
        <f ca="1">IFERROR(__xludf.DUMMYFUNCTION("""COMPUTED_VALUE"""),0)</f>
        <v>0</v>
      </c>
      <c r="S51" s="48">
        <f ca="1">IFERROR(__xludf.DUMMYFUNCTION("""COMPUTED_VALUE"""),0)</f>
        <v>0</v>
      </c>
    </row>
    <row r="52" spans="1:19">
      <c r="A52" s="46" t="str">
        <f ca="1">IFERROR(__xludf.DUMMYFUNCTION("""COMPUTED_VALUE"""),"VEHICULOS OFICIALES A DIESEL")</f>
        <v>VEHICULOS OFICIALES A DIESEL</v>
      </c>
      <c r="B52" s="46">
        <f ca="1">IFERROR(__xludf.DUMMYFUNCTION("""COMPUTED_VALUE"""),1)</f>
        <v>1</v>
      </c>
      <c r="C52" s="46"/>
      <c r="D52" s="46" t="str">
        <f ca="1">IFERROR(__xludf.DUMMYFUNCTION("""COMPUTED_VALUE"""),"ASCENDENTE")</f>
        <v>ASCENDENTE</v>
      </c>
      <c r="E52" s="46" t="str">
        <f ca="1">IFERROR(__xludf.DUMMYFUNCTION("""COMPUTED_VALUE"""),"BITACORA OPERATIVA")</f>
        <v>BITACORA OPERATIVA</v>
      </c>
      <c r="F52" s="47">
        <f ca="1">IFERROR(__xludf.DUMMYFUNCTION("""COMPUTED_VALUE"""),0)</f>
        <v>0</v>
      </c>
      <c r="G52" s="48">
        <f ca="1">IFERROR(__xludf.DUMMYFUNCTION("""COMPUTED_VALUE"""),0)</f>
        <v>0</v>
      </c>
      <c r="H52" s="48">
        <f ca="1">IFERROR(__xludf.DUMMYFUNCTION("""COMPUTED_VALUE"""),0)</f>
        <v>0</v>
      </c>
      <c r="I52" s="48">
        <f ca="1">IFERROR(__xludf.DUMMYFUNCTION("""COMPUTED_VALUE"""),0)</f>
        <v>0</v>
      </c>
      <c r="J52" s="48">
        <f ca="1">IFERROR(__xludf.DUMMYFUNCTION("""COMPUTED_VALUE"""),0)</f>
        <v>0</v>
      </c>
      <c r="K52" s="48">
        <f ca="1">IFERROR(__xludf.DUMMYFUNCTION("""COMPUTED_VALUE"""),0)</f>
        <v>0</v>
      </c>
      <c r="L52" s="48">
        <f ca="1">IFERROR(__xludf.DUMMYFUNCTION("""COMPUTED_VALUE"""),0)</f>
        <v>0</v>
      </c>
      <c r="M52" s="48">
        <f ca="1">IFERROR(__xludf.DUMMYFUNCTION("""COMPUTED_VALUE"""),0)</f>
        <v>0</v>
      </c>
      <c r="N52" s="48">
        <f ca="1">IFERROR(__xludf.DUMMYFUNCTION("""COMPUTED_VALUE"""),0)</f>
        <v>0</v>
      </c>
      <c r="O52" s="48">
        <f ca="1">IFERROR(__xludf.DUMMYFUNCTION("""COMPUTED_VALUE"""),0)</f>
        <v>0</v>
      </c>
      <c r="P52" s="48">
        <f ca="1">IFERROR(__xludf.DUMMYFUNCTION("""COMPUTED_VALUE"""),0)</f>
        <v>0</v>
      </c>
      <c r="Q52" s="48">
        <f ca="1">IFERROR(__xludf.DUMMYFUNCTION("""COMPUTED_VALUE"""),0)</f>
        <v>0</v>
      </c>
      <c r="R52" s="48">
        <f ca="1">IFERROR(__xludf.DUMMYFUNCTION("""COMPUTED_VALUE"""),0)</f>
        <v>0</v>
      </c>
      <c r="S52" s="48">
        <f ca="1">IFERROR(__xludf.DUMMYFUNCTION("""COMPUTED_VALUE"""),0)</f>
        <v>0</v>
      </c>
    </row>
    <row r="53" spans="1:19">
      <c r="A53" s="46" t="str">
        <f ca="1">IFERROR(__xludf.DUMMYFUNCTION("""COMPUTED_VALUE"""),"NÚMERO DE VECES QUE CARGARON COMBUSTIBLE")</f>
        <v>NÚMERO DE VECES QUE CARGARON COMBUSTIBLE</v>
      </c>
      <c r="B53" s="46">
        <f ca="1">IFERROR(__xludf.DUMMYFUNCTION("""COMPUTED_VALUE"""),1)</f>
        <v>1</v>
      </c>
      <c r="C53" s="46"/>
      <c r="D53" s="46" t="str">
        <f ca="1">IFERROR(__xludf.DUMMYFUNCTION("""COMPUTED_VALUE"""),"ASCENDENTE")</f>
        <v>ASCENDENTE</v>
      </c>
      <c r="E53" s="46" t="str">
        <f ca="1">IFERROR(__xludf.DUMMYFUNCTION("""COMPUTED_VALUE"""),"BITACORA OPERATIVA")</f>
        <v>BITACORA OPERATIVA</v>
      </c>
      <c r="F53" s="47">
        <f ca="1">IFERROR(__xludf.DUMMYFUNCTION("""COMPUTED_VALUE"""),0)</f>
        <v>0</v>
      </c>
      <c r="G53" s="48">
        <f ca="1">IFERROR(__xludf.DUMMYFUNCTION("""COMPUTED_VALUE"""),0)</f>
        <v>0</v>
      </c>
      <c r="H53" s="48">
        <f ca="1">IFERROR(__xludf.DUMMYFUNCTION("""COMPUTED_VALUE"""),0)</f>
        <v>0</v>
      </c>
      <c r="I53" s="48">
        <f ca="1">IFERROR(__xludf.DUMMYFUNCTION("""COMPUTED_VALUE"""),0)</f>
        <v>0</v>
      </c>
      <c r="J53" s="48">
        <f ca="1">IFERROR(__xludf.DUMMYFUNCTION("""COMPUTED_VALUE"""),0)</f>
        <v>0</v>
      </c>
      <c r="K53" s="48">
        <f ca="1">IFERROR(__xludf.DUMMYFUNCTION("""COMPUTED_VALUE"""),0)</f>
        <v>0</v>
      </c>
      <c r="L53" s="48">
        <f ca="1">IFERROR(__xludf.DUMMYFUNCTION("""COMPUTED_VALUE"""),0)</f>
        <v>0</v>
      </c>
      <c r="M53" s="48">
        <f ca="1">IFERROR(__xludf.DUMMYFUNCTION("""COMPUTED_VALUE"""),0)</f>
        <v>0</v>
      </c>
      <c r="N53" s="48">
        <f ca="1">IFERROR(__xludf.DUMMYFUNCTION("""COMPUTED_VALUE"""),0)</f>
        <v>0</v>
      </c>
      <c r="O53" s="48">
        <f ca="1">IFERROR(__xludf.DUMMYFUNCTION("""COMPUTED_VALUE"""),0)</f>
        <v>0</v>
      </c>
      <c r="P53" s="48">
        <f ca="1">IFERROR(__xludf.DUMMYFUNCTION("""COMPUTED_VALUE"""),0)</f>
        <v>0</v>
      </c>
      <c r="Q53" s="48">
        <f ca="1">IFERROR(__xludf.DUMMYFUNCTION("""COMPUTED_VALUE"""),0)</f>
        <v>0</v>
      </c>
      <c r="R53" s="48">
        <f ca="1">IFERROR(__xludf.DUMMYFUNCTION("""COMPUTED_VALUE"""),0)</f>
        <v>0</v>
      </c>
      <c r="S53" s="48">
        <f ca="1">IFERROR(__xludf.DUMMYFUNCTION("""COMPUTED_VALUE"""),0)</f>
        <v>0</v>
      </c>
    </row>
    <row r="54" spans="1:19">
      <c r="A54" s="46" t="str">
        <f ca="1">IFERROR(__xludf.DUMMYFUNCTION("""COMPUTED_VALUE"""),"TOTAL DE LITROS DE DIESEL DESPACHADO")</f>
        <v>TOTAL DE LITROS DE DIESEL DESPACHADO</v>
      </c>
      <c r="B54" s="46">
        <f ca="1">IFERROR(__xludf.DUMMYFUNCTION("""COMPUTED_VALUE"""),1)</f>
        <v>1</v>
      </c>
      <c r="C54" s="46"/>
      <c r="D54" s="46" t="str">
        <f ca="1">IFERROR(__xludf.DUMMYFUNCTION("""COMPUTED_VALUE"""),"ASCENDENTE")</f>
        <v>ASCENDENTE</v>
      </c>
      <c r="E54" s="46" t="str">
        <f ca="1">IFERROR(__xludf.DUMMYFUNCTION("""COMPUTED_VALUE"""),"BITACORA OPERATIVA")</f>
        <v>BITACORA OPERATIVA</v>
      </c>
      <c r="F54" s="47">
        <f ca="1">IFERROR(__xludf.DUMMYFUNCTION("""COMPUTED_VALUE"""),0)</f>
        <v>0</v>
      </c>
      <c r="G54" s="48">
        <f ca="1">IFERROR(__xludf.DUMMYFUNCTION("""COMPUTED_VALUE"""),0)</f>
        <v>0</v>
      </c>
      <c r="H54" s="48">
        <f ca="1">IFERROR(__xludf.DUMMYFUNCTION("""COMPUTED_VALUE"""),0)</f>
        <v>0</v>
      </c>
      <c r="I54" s="48">
        <f ca="1">IFERROR(__xludf.DUMMYFUNCTION("""COMPUTED_VALUE"""),0)</f>
        <v>0</v>
      </c>
      <c r="J54" s="48">
        <f ca="1">IFERROR(__xludf.DUMMYFUNCTION("""COMPUTED_VALUE"""),0)</f>
        <v>0</v>
      </c>
      <c r="K54" s="48">
        <f ca="1">IFERROR(__xludf.DUMMYFUNCTION("""COMPUTED_VALUE"""),0)</f>
        <v>0</v>
      </c>
      <c r="L54" s="48">
        <f ca="1">IFERROR(__xludf.DUMMYFUNCTION("""COMPUTED_VALUE"""),0)</f>
        <v>0</v>
      </c>
      <c r="M54" s="48">
        <f ca="1">IFERROR(__xludf.DUMMYFUNCTION("""COMPUTED_VALUE"""),0)</f>
        <v>0</v>
      </c>
      <c r="N54" s="48">
        <f ca="1">IFERROR(__xludf.DUMMYFUNCTION("""COMPUTED_VALUE"""),0)</f>
        <v>0</v>
      </c>
      <c r="O54" s="48">
        <f ca="1">IFERROR(__xludf.DUMMYFUNCTION("""COMPUTED_VALUE"""),0)</f>
        <v>0</v>
      </c>
      <c r="P54" s="48">
        <f ca="1">IFERROR(__xludf.DUMMYFUNCTION("""COMPUTED_VALUE"""),0)</f>
        <v>0</v>
      </c>
      <c r="Q54" s="48">
        <f ca="1">IFERROR(__xludf.DUMMYFUNCTION("""COMPUTED_VALUE"""),0)</f>
        <v>0</v>
      </c>
      <c r="R54" s="48">
        <f ca="1">IFERROR(__xludf.DUMMYFUNCTION("""COMPUTED_VALUE"""),0)</f>
        <v>0</v>
      </c>
      <c r="S54" s="48">
        <f ca="1">IFERROR(__xludf.DUMMYFUNCTION("""COMPUTED_VALUE"""),0)</f>
        <v>0</v>
      </c>
    </row>
    <row r="55" spans="1:19">
      <c r="A55" s="46" t="str">
        <f ca="1">IFERROR(__xludf.DUMMYFUNCTION("""COMPUTED_VALUE"""),"VEHICULOS DE SEGURIDAD PUBLICA")</f>
        <v>VEHICULOS DE SEGURIDAD PUBLICA</v>
      </c>
      <c r="B55" s="46">
        <f ca="1">IFERROR(__xludf.DUMMYFUNCTION("""COMPUTED_VALUE"""),1)</f>
        <v>1</v>
      </c>
      <c r="C55" s="46"/>
      <c r="D55" s="46" t="str">
        <f ca="1">IFERROR(__xludf.DUMMYFUNCTION("""COMPUTED_VALUE"""),"ASCENDENTE")</f>
        <v>ASCENDENTE</v>
      </c>
      <c r="E55" s="46" t="str">
        <f ca="1">IFERROR(__xludf.DUMMYFUNCTION("""COMPUTED_VALUE"""),"BITACORA OPERATIVA")</f>
        <v>BITACORA OPERATIVA</v>
      </c>
      <c r="F55" s="47">
        <f ca="1">IFERROR(__xludf.DUMMYFUNCTION("""COMPUTED_VALUE"""),0)</f>
        <v>0</v>
      </c>
      <c r="G55" s="48">
        <f ca="1">IFERROR(__xludf.DUMMYFUNCTION("""COMPUTED_VALUE"""),0)</f>
        <v>0</v>
      </c>
      <c r="H55" s="48">
        <f ca="1">IFERROR(__xludf.DUMMYFUNCTION("""COMPUTED_VALUE"""),0)</f>
        <v>0</v>
      </c>
      <c r="I55" s="48">
        <f ca="1">IFERROR(__xludf.DUMMYFUNCTION("""COMPUTED_VALUE"""),0)</f>
        <v>0</v>
      </c>
      <c r="J55" s="48">
        <f ca="1">IFERROR(__xludf.DUMMYFUNCTION("""COMPUTED_VALUE"""),0)</f>
        <v>0</v>
      </c>
      <c r="K55" s="48">
        <f ca="1">IFERROR(__xludf.DUMMYFUNCTION("""COMPUTED_VALUE"""),0)</f>
        <v>0</v>
      </c>
      <c r="L55" s="48">
        <f ca="1">IFERROR(__xludf.DUMMYFUNCTION("""COMPUTED_VALUE"""),0)</f>
        <v>0</v>
      </c>
      <c r="M55" s="48">
        <f ca="1">IFERROR(__xludf.DUMMYFUNCTION("""COMPUTED_VALUE"""),0)</f>
        <v>0</v>
      </c>
      <c r="N55" s="48">
        <f ca="1">IFERROR(__xludf.DUMMYFUNCTION("""COMPUTED_VALUE"""),0)</f>
        <v>0</v>
      </c>
      <c r="O55" s="48">
        <f ca="1">IFERROR(__xludf.DUMMYFUNCTION("""COMPUTED_VALUE"""),0)</f>
        <v>0</v>
      </c>
      <c r="P55" s="48">
        <f ca="1">IFERROR(__xludf.DUMMYFUNCTION("""COMPUTED_VALUE"""),0)</f>
        <v>0</v>
      </c>
      <c r="Q55" s="48">
        <f ca="1">IFERROR(__xludf.DUMMYFUNCTION("""COMPUTED_VALUE"""),0)</f>
        <v>0</v>
      </c>
      <c r="R55" s="48">
        <f ca="1">IFERROR(__xludf.DUMMYFUNCTION("""COMPUTED_VALUE"""),0)</f>
        <v>0</v>
      </c>
      <c r="S55" s="48">
        <f ca="1">IFERROR(__xludf.DUMMYFUNCTION("""COMPUTED_VALUE"""),0)</f>
        <v>0</v>
      </c>
    </row>
    <row r="56" spans="1:19">
      <c r="A56" s="46" t="str">
        <f ca="1">IFERROR(__xludf.DUMMYFUNCTION("""COMPUTED_VALUE"""),"MOTOCICLETAS DE SEGURIDAD PUBLICA")</f>
        <v>MOTOCICLETAS DE SEGURIDAD PUBLICA</v>
      </c>
      <c r="B56" s="46">
        <f ca="1">IFERROR(__xludf.DUMMYFUNCTION("""COMPUTED_VALUE"""),1)</f>
        <v>1</v>
      </c>
      <c r="C56" s="46"/>
      <c r="D56" s="46" t="str">
        <f ca="1">IFERROR(__xludf.DUMMYFUNCTION("""COMPUTED_VALUE"""),"ASCENDENTE")</f>
        <v>ASCENDENTE</v>
      </c>
      <c r="E56" s="46" t="str">
        <f ca="1">IFERROR(__xludf.DUMMYFUNCTION("""COMPUTED_VALUE"""),"BITACORA OPERATIVA")</f>
        <v>BITACORA OPERATIVA</v>
      </c>
      <c r="F56" s="47">
        <f ca="1">IFERROR(__xludf.DUMMYFUNCTION("""COMPUTED_VALUE"""),0)</f>
        <v>0</v>
      </c>
      <c r="G56" s="48">
        <f ca="1">IFERROR(__xludf.DUMMYFUNCTION("""COMPUTED_VALUE"""),0)</f>
        <v>0</v>
      </c>
      <c r="H56" s="48">
        <f ca="1">IFERROR(__xludf.DUMMYFUNCTION("""COMPUTED_VALUE"""),0)</f>
        <v>0</v>
      </c>
      <c r="I56" s="48">
        <f ca="1">IFERROR(__xludf.DUMMYFUNCTION("""COMPUTED_VALUE"""),0)</f>
        <v>0</v>
      </c>
      <c r="J56" s="48">
        <f ca="1">IFERROR(__xludf.DUMMYFUNCTION("""COMPUTED_VALUE"""),0)</f>
        <v>0</v>
      </c>
      <c r="K56" s="48">
        <f ca="1">IFERROR(__xludf.DUMMYFUNCTION("""COMPUTED_VALUE"""),0)</f>
        <v>0</v>
      </c>
      <c r="L56" s="48">
        <f ca="1">IFERROR(__xludf.DUMMYFUNCTION("""COMPUTED_VALUE"""),0)</f>
        <v>0</v>
      </c>
      <c r="M56" s="48">
        <f ca="1">IFERROR(__xludf.DUMMYFUNCTION("""COMPUTED_VALUE"""),0)</f>
        <v>0</v>
      </c>
      <c r="N56" s="48">
        <f ca="1">IFERROR(__xludf.DUMMYFUNCTION("""COMPUTED_VALUE"""),0)</f>
        <v>0</v>
      </c>
      <c r="O56" s="48">
        <f ca="1">IFERROR(__xludf.DUMMYFUNCTION("""COMPUTED_VALUE"""),0)</f>
        <v>0</v>
      </c>
      <c r="P56" s="48">
        <f ca="1">IFERROR(__xludf.DUMMYFUNCTION("""COMPUTED_VALUE"""),0)</f>
        <v>0</v>
      </c>
      <c r="Q56" s="48">
        <f ca="1">IFERROR(__xludf.DUMMYFUNCTION("""COMPUTED_VALUE"""),0)</f>
        <v>0</v>
      </c>
      <c r="R56" s="48">
        <f ca="1">IFERROR(__xludf.DUMMYFUNCTION("""COMPUTED_VALUE"""),0)</f>
        <v>0</v>
      </c>
      <c r="S56" s="48">
        <f ca="1">IFERROR(__xludf.DUMMYFUNCTION("""COMPUTED_VALUE"""),0)</f>
        <v>0</v>
      </c>
    </row>
    <row r="57" spans="1:19">
      <c r="A57" s="46" t="str">
        <f ca="1">IFERROR(__xludf.DUMMYFUNCTION("""COMPUTED_VALUE"""),"CONSULTAS MÉDICAS DOMICILIARIAS")</f>
        <v>CONSULTAS MÉDICAS DOMICILIARIAS</v>
      </c>
      <c r="B57" s="46">
        <f ca="1">IFERROR(__xludf.DUMMYFUNCTION("""COMPUTED_VALUE"""),1)</f>
        <v>1</v>
      </c>
      <c r="C57" s="46"/>
      <c r="D57" s="46" t="str">
        <f ca="1">IFERROR(__xludf.DUMMYFUNCTION("""COMPUTED_VALUE"""),"ASCENDENTE")</f>
        <v>ASCENDENTE</v>
      </c>
      <c r="E57" s="46" t="str">
        <f ca="1">IFERROR(__xludf.DUMMYFUNCTION("""COMPUTED_VALUE"""),"BITACORA OPERATIVA")</f>
        <v>BITACORA OPERATIVA</v>
      </c>
      <c r="F57" s="47">
        <f ca="1">IFERROR(__xludf.DUMMYFUNCTION("""COMPUTED_VALUE"""),0)</f>
        <v>0</v>
      </c>
      <c r="G57" s="48">
        <f ca="1">IFERROR(__xludf.DUMMYFUNCTION("""COMPUTED_VALUE"""),0)</f>
        <v>0</v>
      </c>
      <c r="H57" s="48">
        <f ca="1">IFERROR(__xludf.DUMMYFUNCTION("""COMPUTED_VALUE"""),0)</f>
        <v>0</v>
      </c>
      <c r="I57" s="48">
        <f ca="1">IFERROR(__xludf.DUMMYFUNCTION("""COMPUTED_VALUE"""),0)</f>
        <v>0</v>
      </c>
      <c r="J57" s="48">
        <f ca="1">IFERROR(__xludf.DUMMYFUNCTION("""COMPUTED_VALUE"""),0)</f>
        <v>0</v>
      </c>
      <c r="K57" s="48">
        <f ca="1">IFERROR(__xludf.DUMMYFUNCTION("""COMPUTED_VALUE"""),0)</f>
        <v>0</v>
      </c>
      <c r="L57" s="48">
        <f ca="1">IFERROR(__xludf.DUMMYFUNCTION("""COMPUTED_VALUE"""),0)</f>
        <v>0</v>
      </c>
      <c r="M57" s="48">
        <f ca="1">IFERROR(__xludf.DUMMYFUNCTION("""COMPUTED_VALUE"""),0)</f>
        <v>0</v>
      </c>
      <c r="N57" s="48">
        <f ca="1">IFERROR(__xludf.DUMMYFUNCTION("""COMPUTED_VALUE"""),0)</f>
        <v>0</v>
      </c>
      <c r="O57" s="48">
        <f ca="1">IFERROR(__xludf.DUMMYFUNCTION("""COMPUTED_VALUE"""),0)</f>
        <v>0</v>
      </c>
      <c r="P57" s="48">
        <f ca="1">IFERROR(__xludf.DUMMYFUNCTION("""COMPUTED_VALUE"""),0)</f>
        <v>0</v>
      </c>
      <c r="Q57" s="48">
        <f ca="1">IFERROR(__xludf.DUMMYFUNCTION("""COMPUTED_VALUE"""),0)</f>
        <v>0</v>
      </c>
      <c r="R57" s="48">
        <f ca="1">IFERROR(__xludf.DUMMYFUNCTION("""COMPUTED_VALUE"""),0)</f>
        <v>0</v>
      </c>
      <c r="S57" s="48">
        <f ca="1">IFERROR(__xludf.DUMMYFUNCTION("""COMPUTED_VALUE"""),0)</f>
        <v>0</v>
      </c>
    </row>
    <row r="58" spans="1:19">
      <c r="A58" s="46" t="str">
        <f ca="1">IFERROR(__xludf.DUMMYFUNCTION("""COMPUTED_VALUE"""),"TOTAL DE TRASLADOS")</f>
        <v>TOTAL DE TRASLADOS</v>
      </c>
      <c r="B58" s="46">
        <f ca="1">IFERROR(__xludf.DUMMYFUNCTION("""COMPUTED_VALUE"""),1)</f>
        <v>1</v>
      </c>
      <c r="C58" s="46"/>
      <c r="D58" s="46" t="str">
        <f ca="1">IFERROR(__xludf.DUMMYFUNCTION("""COMPUTED_VALUE"""),"ASCENDENTE")</f>
        <v>ASCENDENTE</v>
      </c>
      <c r="E58" s="46" t="str">
        <f ca="1">IFERROR(__xludf.DUMMYFUNCTION("""COMPUTED_VALUE"""),"BITACORA OPERATIVA")</f>
        <v>BITACORA OPERATIVA</v>
      </c>
      <c r="F58" s="47">
        <f ca="1">IFERROR(__xludf.DUMMYFUNCTION("""COMPUTED_VALUE"""),0)</f>
        <v>0</v>
      </c>
      <c r="G58" s="48">
        <f ca="1">IFERROR(__xludf.DUMMYFUNCTION("""COMPUTED_VALUE"""),0)</f>
        <v>0</v>
      </c>
      <c r="H58" s="48">
        <f ca="1">IFERROR(__xludf.DUMMYFUNCTION("""COMPUTED_VALUE"""),0)</f>
        <v>0</v>
      </c>
      <c r="I58" s="48">
        <f ca="1">IFERROR(__xludf.DUMMYFUNCTION("""COMPUTED_VALUE"""),0)</f>
        <v>0</v>
      </c>
      <c r="J58" s="48">
        <f ca="1">IFERROR(__xludf.DUMMYFUNCTION("""COMPUTED_VALUE"""),0)</f>
        <v>0</v>
      </c>
      <c r="K58" s="48">
        <f ca="1">IFERROR(__xludf.DUMMYFUNCTION("""COMPUTED_VALUE"""),0)</f>
        <v>0</v>
      </c>
      <c r="L58" s="48">
        <f ca="1">IFERROR(__xludf.DUMMYFUNCTION("""COMPUTED_VALUE"""),0)</f>
        <v>0</v>
      </c>
      <c r="M58" s="48">
        <f ca="1">IFERROR(__xludf.DUMMYFUNCTION("""COMPUTED_VALUE"""),0)</f>
        <v>0</v>
      </c>
      <c r="N58" s="48">
        <f ca="1">IFERROR(__xludf.DUMMYFUNCTION("""COMPUTED_VALUE"""),0)</f>
        <v>0</v>
      </c>
      <c r="O58" s="48">
        <f ca="1">IFERROR(__xludf.DUMMYFUNCTION("""COMPUTED_VALUE"""),0)</f>
        <v>0</v>
      </c>
      <c r="P58" s="48">
        <f ca="1">IFERROR(__xludf.DUMMYFUNCTION("""COMPUTED_VALUE"""),0)</f>
        <v>0</v>
      </c>
      <c r="Q58" s="48">
        <f ca="1">IFERROR(__xludf.DUMMYFUNCTION("""COMPUTED_VALUE"""),0)</f>
        <v>0</v>
      </c>
      <c r="R58" s="48">
        <f ca="1">IFERROR(__xludf.DUMMYFUNCTION("""COMPUTED_VALUE"""),0)</f>
        <v>0</v>
      </c>
      <c r="S58" s="48">
        <f ca="1">IFERROR(__xludf.DUMMYFUNCTION("""COMPUTED_VALUE"""),0)</f>
        <v>0</v>
      </c>
    </row>
    <row r="59" spans="1:19">
      <c r="A59" s="46" t="str">
        <f ca="1">IFERROR(__xludf.DUMMYFUNCTION("""COMPUTED_VALUE"""),"CAMPAÑAS DE PREVENCIÓN EN SALUD PÚBLICA ")</f>
        <v xml:space="preserve">CAMPAÑAS DE PREVENCIÓN EN SALUD PÚBLICA </v>
      </c>
      <c r="B59" s="46">
        <f ca="1">IFERROR(__xludf.DUMMYFUNCTION("""COMPUTED_VALUE"""),1)</f>
        <v>1</v>
      </c>
      <c r="C59" s="46"/>
      <c r="D59" s="46" t="str">
        <f ca="1">IFERROR(__xludf.DUMMYFUNCTION("""COMPUTED_VALUE"""),"ASCENDENTE")</f>
        <v>ASCENDENTE</v>
      </c>
      <c r="E59" s="46" t="str">
        <f ca="1">IFERROR(__xludf.DUMMYFUNCTION("""COMPUTED_VALUE"""),"BITACORA OPERATIVA")</f>
        <v>BITACORA OPERATIVA</v>
      </c>
      <c r="F59" s="47">
        <f ca="1">IFERROR(__xludf.DUMMYFUNCTION("""COMPUTED_VALUE"""),0)</f>
        <v>0</v>
      </c>
      <c r="G59" s="48">
        <f ca="1">IFERROR(__xludf.DUMMYFUNCTION("""COMPUTED_VALUE"""),0)</f>
        <v>0</v>
      </c>
      <c r="H59" s="48">
        <f ca="1">IFERROR(__xludf.DUMMYFUNCTION("""COMPUTED_VALUE"""),0)</f>
        <v>0</v>
      </c>
      <c r="I59" s="48">
        <f ca="1">IFERROR(__xludf.DUMMYFUNCTION("""COMPUTED_VALUE"""),0)</f>
        <v>0</v>
      </c>
      <c r="J59" s="48">
        <f ca="1">IFERROR(__xludf.DUMMYFUNCTION("""COMPUTED_VALUE"""),0)</f>
        <v>0</v>
      </c>
      <c r="K59" s="48">
        <f ca="1">IFERROR(__xludf.DUMMYFUNCTION("""COMPUTED_VALUE"""),0)</f>
        <v>0</v>
      </c>
      <c r="L59" s="48">
        <f ca="1">IFERROR(__xludf.DUMMYFUNCTION("""COMPUTED_VALUE"""),0)</f>
        <v>0</v>
      </c>
      <c r="M59" s="48">
        <f ca="1">IFERROR(__xludf.DUMMYFUNCTION("""COMPUTED_VALUE"""),0)</f>
        <v>0</v>
      </c>
      <c r="N59" s="48">
        <f ca="1">IFERROR(__xludf.DUMMYFUNCTION("""COMPUTED_VALUE"""),0)</f>
        <v>0</v>
      </c>
      <c r="O59" s="48">
        <f ca="1">IFERROR(__xludf.DUMMYFUNCTION("""COMPUTED_VALUE"""),0)</f>
        <v>0</v>
      </c>
      <c r="P59" s="48">
        <f ca="1">IFERROR(__xludf.DUMMYFUNCTION("""COMPUTED_VALUE"""),0)</f>
        <v>0</v>
      </c>
      <c r="Q59" s="48">
        <f ca="1">IFERROR(__xludf.DUMMYFUNCTION("""COMPUTED_VALUE"""),0)</f>
        <v>0</v>
      </c>
      <c r="R59" s="48">
        <f ca="1">IFERROR(__xludf.DUMMYFUNCTION("""COMPUTED_VALUE"""),0)</f>
        <v>0</v>
      </c>
      <c r="S59" s="48">
        <f ca="1">IFERROR(__xludf.DUMMYFUNCTION("""COMPUTED_VALUE"""),0)</f>
        <v>0</v>
      </c>
    </row>
    <row r="60" spans="1:19">
      <c r="A60" s="46" t="str">
        <f ca="1">IFERROR(__xludf.DUMMYFUNCTION("""COMPUTED_VALUE"""),"CAMPAÑAS DE VACUNACIÓN ")</f>
        <v xml:space="preserve">CAMPAÑAS DE VACUNACIÓN </v>
      </c>
      <c r="B60" s="46">
        <f ca="1">IFERROR(__xludf.DUMMYFUNCTION("""COMPUTED_VALUE"""),1)</f>
        <v>1</v>
      </c>
      <c r="C60" s="46"/>
      <c r="D60" s="46" t="str">
        <f ca="1">IFERROR(__xludf.DUMMYFUNCTION("""COMPUTED_VALUE"""),"ASCENDENTE")</f>
        <v>ASCENDENTE</v>
      </c>
      <c r="E60" s="46" t="str">
        <f ca="1">IFERROR(__xludf.DUMMYFUNCTION("""COMPUTED_VALUE"""),"BITACORA OPERATIVA")</f>
        <v>BITACORA OPERATIVA</v>
      </c>
      <c r="F60" s="47">
        <f ca="1">IFERROR(__xludf.DUMMYFUNCTION("""COMPUTED_VALUE"""),0)</f>
        <v>0</v>
      </c>
      <c r="G60" s="48">
        <f ca="1">IFERROR(__xludf.DUMMYFUNCTION("""COMPUTED_VALUE"""),0)</f>
        <v>0</v>
      </c>
      <c r="H60" s="48">
        <f ca="1">IFERROR(__xludf.DUMMYFUNCTION("""COMPUTED_VALUE"""),0)</f>
        <v>0</v>
      </c>
      <c r="I60" s="48">
        <f ca="1">IFERROR(__xludf.DUMMYFUNCTION("""COMPUTED_VALUE"""),0)</f>
        <v>0</v>
      </c>
      <c r="J60" s="48">
        <f ca="1">IFERROR(__xludf.DUMMYFUNCTION("""COMPUTED_VALUE"""),0)</f>
        <v>0</v>
      </c>
      <c r="K60" s="48">
        <f ca="1">IFERROR(__xludf.DUMMYFUNCTION("""COMPUTED_VALUE"""),0)</f>
        <v>0</v>
      </c>
      <c r="L60" s="48">
        <f ca="1">IFERROR(__xludf.DUMMYFUNCTION("""COMPUTED_VALUE"""),0)</f>
        <v>0</v>
      </c>
      <c r="M60" s="48">
        <f ca="1">IFERROR(__xludf.DUMMYFUNCTION("""COMPUTED_VALUE"""),0)</f>
        <v>0</v>
      </c>
      <c r="N60" s="48">
        <f ca="1">IFERROR(__xludf.DUMMYFUNCTION("""COMPUTED_VALUE"""),0)</f>
        <v>0</v>
      </c>
      <c r="O60" s="48">
        <f ca="1">IFERROR(__xludf.DUMMYFUNCTION("""COMPUTED_VALUE"""),0)</f>
        <v>0</v>
      </c>
      <c r="P60" s="48">
        <f ca="1">IFERROR(__xludf.DUMMYFUNCTION("""COMPUTED_VALUE"""),0)</f>
        <v>0</v>
      </c>
      <c r="Q60" s="48">
        <f ca="1">IFERROR(__xludf.DUMMYFUNCTION("""COMPUTED_VALUE"""),0)</f>
        <v>0</v>
      </c>
      <c r="R60" s="48">
        <f ca="1">IFERROR(__xludf.DUMMYFUNCTION("""COMPUTED_VALUE"""),0)</f>
        <v>0</v>
      </c>
      <c r="S60" s="48">
        <f ca="1">IFERROR(__xludf.DUMMYFUNCTION("""COMPUTED_VALUE"""),0)</f>
        <v>0</v>
      </c>
    </row>
    <row r="61" spans="1:19">
      <c r="A61" s="46" t="str">
        <f ca="1">IFERROR(__xludf.DUMMYFUNCTION("""COMPUTED_VALUE"""),"PERSONAS VACUNADAS ")</f>
        <v xml:space="preserve">PERSONAS VACUNADAS </v>
      </c>
      <c r="B61" s="46">
        <f ca="1">IFERROR(__xludf.DUMMYFUNCTION("""COMPUTED_VALUE"""),1)</f>
        <v>1</v>
      </c>
      <c r="C61" s="46"/>
      <c r="D61" s="46" t="str">
        <f ca="1">IFERROR(__xludf.DUMMYFUNCTION("""COMPUTED_VALUE"""),"ASCENDENTE")</f>
        <v>ASCENDENTE</v>
      </c>
      <c r="E61" s="46" t="str">
        <f ca="1">IFERROR(__xludf.DUMMYFUNCTION("""COMPUTED_VALUE"""),"BITACORA OPERATIVA")</f>
        <v>BITACORA OPERATIVA</v>
      </c>
      <c r="F61" s="47">
        <f ca="1">IFERROR(__xludf.DUMMYFUNCTION("""COMPUTED_VALUE"""),0)</f>
        <v>0</v>
      </c>
      <c r="G61" s="48">
        <f ca="1">IFERROR(__xludf.DUMMYFUNCTION("""COMPUTED_VALUE"""),0)</f>
        <v>0</v>
      </c>
      <c r="H61" s="48">
        <f ca="1">IFERROR(__xludf.DUMMYFUNCTION("""COMPUTED_VALUE"""),0)</f>
        <v>0</v>
      </c>
      <c r="I61" s="48">
        <f ca="1">IFERROR(__xludf.DUMMYFUNCTION("""COMPUTED_VALUE"""),0)</f>
        <v>0</v>
      </c>
      <c r="J61" s="48">
        <f ca="1">IFERROR(__xludf.DUMMYFUNCTION("""COMPUTED_VALUE"""),0)</f>
        <v>0</v>
      </c>
      <c r="K61" s="48">
        <f ca="1">IFERROR(__xludf.DUMMYFUNCTION("""COMPUTED_VALUE"""),0)</f>
        <v>0</v>
      </c>
      <c r="L61" s="48">
        <f ca="1">IFERROR(__xludf.DUMMYFUNCTION("""COMPUTED_VALUE"""),0)</f>
        <v>0</v>
      </c>
      <c r="M61" s="48">
        <f ca="1">IFERROR(__xludf.DUMMYFUNCTION("""COMPUTED_VALUE"""),0)</f>
        <v>0</v>
      </c>
      <c r="N61" s="48">
        <f ca="1">IFERROR(__xludf.DUMMYFUNCTION("""COMPUTED_VALUE"""),0)</f>
        <v>0</v>
      </c>
      <c r="O61" s="48">
        <f ca="1">IFERROR(__xludf.DUMMYFUNCTION("""COMPUTED_VALUE"""),0)</f>
        <v>0</v>
      </c>
      <c r="P61" s="48">
        <f ca="1">IFERROR(__xludf.DUMMYFUNCTION("""COMPUTED_VALUE"""),0)</f>
        <v>0</v>
      </c>
      <c r="Q61" s="48">
        <f ca="1">IFERROR(__xludf.DUMMYFUNCTION("""COMPUTED_VALUE"""),0)</f>
        <v>0</v>
      </c>
      <c r="R61" s="48">
        <f ca="1">IFERROR(__xludf.DUMMYFUNCTION("""COMPUTED_VALUE"""),0)</f>
        <v>0</v>
      </c>
      <c r="S61" s="48">
        <f ca="1">IFERROR(__xludf.DUMMYFUNCTION("""COMPUTED_VALUE"""),0)</f>
        <v>0</v>
      </c>
    </row>
    <row r="62" spans="1:19">
      <c r="A62" s="46" t="str">
        <f ca="1">IFERROR(__xludf.DUMMYFUNCTION("""COMPUTED_VALUE"""),"ATENCIONES DE LABORATORIO DE ANÁLISIS CLÍNICOS ")</f>
        <v xml:space="preserve">ATENCIONES DE LABORATORIO DE ANÁLISIS CLÍNICOS </v>
      </c>
      <c r="B62" s="46">
        <f ca="1">IFERROR(__xludf.DUMMYFUNCTION("""COMPUTED_VALUE"""),1)</f>
        <v>1</v>
      </c>
      <c r="C62" s="46"/>
      <c r="D62" s="46" t="str">
        <f ca="1">IFERROR(__xludf.DUMMYFUNCTION("""COMPUTED_VALUE"""),"ASCENDENTE")</f>
        <v>ASCENDENTE</v>
      </c>
      <c r="E62" s="46" t="str">
        <f ca="1">IFERROR(__xludf.DUMMYFUNCTION("""COMPUTED_VALUE"""),"BITACORA OPERATIVA")</f>
        <v>BITACORA OPERATIVA</v>
      </c>
      <c r="F62" s="47">
        <f ca="1">IFERROR(__xludf.DUMMYFUNCTION("""COMPUTED_VALUE"""),0)</f>
        <v>0</v>
      </c>
      <c r="G62" s="48">
        <f ca="1">IFERROR(__xludf.DUMMYFUNCTION("""COMPUTED_VALUE"""),0)</f>
        <v>0</v>
      </c>
      <c r="H62" s="48">
        <f ca="1">IFERROR(__xludf.DUMMYFUNCTION("""COMPUTED_VALUE"""),0)</f>
        <v>0</v>
      </c>
      <c r="I62" s="48">
        <f ca="1">IFERROR(__xludf.DUMMYFUNCTION("""COMPUTED_VALUE"""),0)</f>
        <v>0</v>
      </c>
      <c r="J62" s="48">
        <f ca="1">IFERROR(__xludf.DUMMYFUNCTION("""COMPUTED_VALUE"""),0)</f>
        <v>0</v>
      </c>
      <c r="K62" s="48">
        <f ca="1">IFERROR(__xludf.DUMMYFUNCTION("""COMPUTED_VALUE"""),0)</f>
        <v>0</v>
      </c>
      <c r="L62" s="48">
        <f ca="1">IFERROR(__xludf.DUMMYFUNCTION("""COMPUTED_VALUE"""),0)</f>
        <v>0</v>
      </c>
      <c r="M62" s="48">
        <f ca="1">IFERROR(__xludf.DUMMYFUNCTION("""COMPUTED_VALUE"""),0)</f>
        <v>0</v>
      </c>
      <c r="N62" s="48">
        <f ca="1">IFERROR(__xludf.DUMMYFUNCTION("""COMPUTED_VALUE"""),0)</f>
        <v>0</v>
      </c>
      <c r="O62" s="48">
        <f ca="1">IFERROR(__xludf.DUMMYFUNCTION("""COMPUTED_VALUE"""),0)</f>
        <v>0</v>
      </c>
      <c r="P62" s="48">
        <f ca="1">IFERROR(__xludf.DUMMYFUNCTION("""COMPUTED_VALUE"""),0)</f>
        <v>0</v>
      </c>
      <c r="Q62" s="48">
        <f ca="1">IFERROR(__xludf.DUMMYFUNCTION("""COMPUTED_VALUE"""),0)</f>
        <v>0</v>
      </c>
      <c r="R62" s="48">
        <f ca="1">IFERROR(__xludf.DUMMYFUNCTION("""COMPUTED_VALUE"""),0)</f>
        <v>0</v>
      </c>
      <c r="S62" s="48">
        <f ca="1">IFERROR(__xludf.DUMMYFUNCTION("""COMPUTED_VALUE"""),0)</f>
        <v>0</v>
      </c>
    </row>
    <row r="63" spans="1:19">
      <c r="A63" s="46" t="str">
        <f ca="1">IFERROR(__xludf.DUMMYFUNCTION("""COMPUTED_VALUE"""),"APOYO DE AMBULANCIA EN EVENTOS PUBLICOS ")</f>
        <v xml:space="preserve">APOYO DE AMBULANCIA EN EVENTOS PUBLICOS </v>
      </c>
      <c r="B63" s="46">
        <f ca="1">IFERROR(__xludf.DUMMYFUNCTION("""COMPUTED_VALUE"""),1)</f>
        <v>1</v>
      </c>
      <c r="C63" s="46"/>
      <c r="D63" s="46" t="str">
        <f ca="1">IFERROR(__xludf.DUMMYFUNCTION("""COMPUTED_VALUE"""),"ASCENDENTE")</f>
        <v>ASCENDENTE</v>
      </c>
      <c r="E63" s="46" t="str">
        <f ca="1">IFERROR(__xludf.DUMMYFUNCTION("""COMPUTED_VALUE"""),"BITACORA OPERATIVA")</f>
        <v>BITACORA OPERATIVA</v>
      </c>
      <c r="F63" s="47">
        <f ca="1">IFERROR(__xludf.DUMMYFUNCTION("""COMPUTED_VALUE"""),0)</f>
        <v>0</v>
      </c>
      <c r="G63" s="48">
        <f ca="1">IFERROR(__xludf.DUMMYFUNCTION("""COMPUTED_VALUE"""),0)</f>
        <v>0</v>
      </c>
      <c r="H63" s="48">
        <f ca="1">IFERROR(__xludf.DUMMYFUNCTION("""COMPUTED_VALUE"""),0)</f>
        <v>0</v>
      </c>
      <c r="I63" s="48">
        <f ca="1">IFERROR(__xludf.DUMMYFUNCTION("""COMPUTED_VALUE"""),0)</f>
        <v>0</v>
      </c>
      <c r="J63" s="48">
        <f ca="1">IFERROR(__xludf.DUMMYFUNCTION("""COMPUTED_VALUE"""),0)</f>
        <v>0</v>
      </c>
      <c r="K63" s="48">
        <f ca="1">IFERROR(__xludf.DUMMYFUNCTION("""COMPUTED_VALUE"""),0)</f>
        <v>0</v>
      </c>
      <c r="L63" s="48">
        <f ca="1">IFERROR(__xludf.DUMMYFUNCTION("""COMPUTED_VALUE"""),0)</f>
        <v>0</v>
      </c>
      <c r="M63" s="48">
        <f ca="1">IFERROR(__xludf.DUMMYFUNCTION("""COMPUTED_VALUE"""),0)</f>
        <v>0</v>
      </c>
      <c r="N63" s="48">
        <f ca="1">IFERROR(__xludf.DUMMYFUNCTION("""COMPUTED_VALUE"""),0)</f>
        <v>0</v>
      </c>
      <c r="O63" s="48">
        <f ca="1">IFERROR(__xludf.DUMMYFUNCTION("""COMPUTED_VALUE"""),0)</f>
        <v>0</v>
      </c>
      <c r="P63" s="48">
        <f ca="1">IFERROR(__xludf.DUMMYFUNCTION("""COMPUTED_VALUE"""),0)</f>
        <v>0</v>
      </c>
      <c r="Q63" s="48">
        <f ca="1">IFERROR(__xludf.DUMMYFUNCTION("""COMPUTED_VALUE"""),0)</f>
        <v>0</v>
      </c>
      <c r="R63" s="48">
        <f ca="1">IFERROR(__xludf.DUMMYFUNCTION("""COMPUTED_VALUE"""),0)</f>
        <v>0</v>
      </c>
      <c r="S63" s="48">
        <f ca="1">IFERROR(__xludf.DUMMYFUNCTION("""COMPUTED_VALUE"""),0)</f>
        <v>0</v>
      </c>
    </row>
    <row r="64" spans="1:19">
      <c r="A64" s="46" t="str">
        <f ca="1">IFERROR(__xludf.DUMMYFUNCTION("""COMPUTED_VALUE"""),"NÚMERO DE EVALUACIONES ")</f>
        <v xml:space="preserve">NÚMERO DE EVALUACIONES </v>
      </c>
      <c r="B64" s="46">
        <f ca="1">IFERROR(__xludf.DUMMYFUNCTION("""COMPUTED_VALUE"""),1)</f>
        <v>1</v>
      </c>
      <c r="C64" s="46"/>
      <c r="D64" s="46" t="str">
        <f ca="1">IFERROR(__xludf.DUMMYFUNCTION("""COMPUTED_VALUE"""),"ASCENDENTE")</f>
        <v>ASCENDENTE</v>
      </c>
      <c r="E64" s="46" t="str">
        <f ca="1">IFERROR(__xludf.DUMMYFUNCTION("""COMPUTED_VALUE"""),"BITACORA OPERATIVA")</f>
        <v>BITACORA OPERATIVA</v>
      </c>
      <c r="F64" s="47">
        <f ca="1">IFERROR(__xludf.DUMMYFUNCTION("""COMPUTED_VALUE"""),0)</f>
        <v>0</v>
      </c>
      <c r="G64" s="48">
        <f ca="1">IFERROR(__xludf.DUMMYFUNCTION("""COMPUTED_VALUE"""),0)</f>
        <v>0</v>
      </c>
      <c r="H64" s="48">
        <f ca="1">IFERROR(__xludf.DUMMYFUNCTION("""COMPUTED_VALUE"""),0)</f>
        <v>0</v>
      </c>
      <c r="I64" s="48">
        <f ca="1">IFERROR(__xludf.DUMMYFUNCTION("""COMPUTED_VALUE"""),0)</f>
        <v>0</v>
      </c>
      <c r="J64" s="48">
        <f ca="1">IFERROR(__xludf.DUMMYFUNCTION("""COMPUTED_VALUE"""),0)</f>
        <v>0</v>
      </c>
      <c r="K64" s="48">
        <f ca="1">IFERROR(__xludf.DUMMYFUNCTION("""COMPUTED_VALUE"""),0)</f>
        <v>0</v>
      </c>
      <c r="L64" s="48">
        <f ca="1">IFERROR(__xludf.DUMMYFUNCTION("""COMPUTED_VALUE"""),0)</f>
        <v>0</v>
      </c>
      <c r="M64" s="48">
        <f ca="1">IFERROR(__xludf.DUMMYFUNCTION("""COMPUTED_VALUE"""),0)</f>
        <v>0</v>
      </c>
      <c r="N64" s="48">
        <f ca="1">IFERROR(__xludf.DUMMYFUNCTION("""COMPUTED_VALUE"""),0)</f>
        <v>0</v>
      </c>
      <c r="O64" s="48">
        <f ca="1">IFERROR(__xludf.DUMMYFUNCTION("""COMPUTED_VALUE"""),0)</f>
        <v>0</v>
      </c>
      <c r="P64" s="48">
        <f ca="1">IFERROR(__xludf.DUMMYFUNCTION("""COMPUTED_VALUE"""),0)</f>
        <v>0</v>
      </c>
      <c r="Q64" s="48">
        <f ca="1">IFERROR(__xludf.DUMMYFUNCTION("""COMPUTED_VALUE"""),0)</f>
        <v>0</v>
      </c>
      <c r="R64" s="48">
        <f ca="1">IFERROR(__xludf.DUMMYFUNCTION("""COMPUTED_VALUE"""),0)</f>
        <v>0</v>
      </c>
      <c r="S64" s="48">
        <f ca="1">IFERROR(__xludf.DUMMYFUNCTION("""COMPUTED_VALUE"""),0)</f>
        <v>0</v>
      </c>
    </row>
    <row r="65" spans="1:19">
      <c r="A65" s="46" t="str">
        <f ca="1">IFERROR(__xludf.DUMMYFUNCTION("""COMPUTED_VALUE"""),"TOTAL DE EXÁMENES MÉDICOS ")</f>
        <v xml:space="preserve">TOTAL DE EXÁMENES MÉDICOS </v>
      </c>
      <c r="B65" s="46">
        <f ca="1">IFERROR(__xludf.DUMMYFUNCTION("""COMPUTED_VALUE"""),1)</f>
        <v>1</v>
      </c>
      <c r="C65" s="46"/>
      <c r="D65" s="46" t="str">
        <f ca="1">IFERROR(__xludf.DUMMYFUNCTION("""COMPUTED_VALUE"""),"ASCENDENTE")</f>
        <v>ASCENDENTE</v>
      </c>
      <c r="E65" s="46" t="str">
        <f ca="1">IFERROR(__xludf.DUMMYFUNCTION("""COMPUTED_VALUE"""),"BITACORA OPERATIVA")</f>
        <v>BITACORA OPERATIVA</v>
      </c>
      <c r="F65" s="47">
        <f ca="1">IFERROR(__xludf.DUMMYFUNCTION("""COMPUTED_VALUE"""),0)</f>
        <v>0</v>
      </c>
      <c r="G65" s="48">
        <f ca="1">IFERROR(__xludf.DUMMYFUNCTION("""COMPUTED_VALUE"""),0)</f>
        <v>0</v>
      </c>
      <c r="H65" s="48">
        <f ca="1">IFERROR(__xludf.DUMMYFUNCTION("""COMPUTED_VALUE"""),0)</f>
        <v>0</v>
      </c>
      <c r="I65" s="48">
        <f ca="1">IFERROR(__xludf.DUMMYFUNCTION("""COMPUTED_VALUE"""),0)</f>
        <v>0</v>
      </c>
      <c r="J65" s="48">
        <f ca="1">IFERROR(__xludf.DUMMYFUNCTION("""COMPUTED_VALUE"""),0)</f>
        <v>0</v>
      </c>
      <c r="K65" s="48">
        <f ca="1">IFERROR(__xludf.DUMMYFUNCTION("""COMPUTED_VALUE"""),0)</f>
        <v>0</v>
      </c>
      <c r="L65" s="48">
        <f ca="1">IFERROR(__xludf.DUMMYFUNCTION("""COMPUTED_VALUE"""),0)</f>
        <v>0</v>
      </c>
      <c r="M65" s="48">
        <f ca="1">IFERROR(__xludf.DUMMYFUNCTION("""COMPUTED_VALUE"""),0)</f>
        <v>0</v>
      </c>
      <c r="N65" s="48">
        <f ca="1">IFERROR(__xludf.DUMMYFUNCTION("""COMPUTED_VALUE"""),0)</f>
        <v>0</v>
      </c>
      <c r="O65" s="48">
        <f ca="1">IFERROR(__xludf.DUMMYFUNCTION("""COMPUTED_VALUE"""),0)</f>
        <v>0</v>
      </c>
      <c r="P65" s="48">
        <f ca="1">IFERROR(__xludf.DUMMYFUNCTION("""COMPUTED_VALUE"""),0)</f>
        <v>0</v>
      </c>
      <c r="Q65" s="48">
        <f ca="1">IFERROR(__xludf.DUMMYFUNCTION("""COMPUTED_VALUE"""),0)</f>
        <v>0</v>
      </c>
      <c r="R65" s="48">
        <f ca="1">IFERROR(__xludf.DUMMYFUNCTION("""COMPUTED_VALUE"""),0)</f>
        <v>0</v>
      </c>
      <c r="S65" s="48">
        <f ca="1">IFERROR(__xludf.DUMMYFUNCTION("""COMPUTED_VALUE"""),0)</f>
        <v>0</v>
      </c>
    </row>
    <row r="66" spans="1:19">
      <c r="A66" s="46" t="str">
        <f ca="1">IFERROR(__xludf.DUMMYFUNCTION("""COMPUTED_VALUE"""),"CONSULTAS PSICOLÓGICAS ")</f>
        <v xml:space="preserve">CONSULTAS PSICOLÓGICAS </v>
      </c>
      <c r="B66" s="46">
        <f ca="1">IFERROR(__xludf.DUMMYFUNCTION("""COMPUTED_VALUE"""),1)</f>
        <v>1</v>
      </c>
      <c r="C66" s="46"/>
      <c r="D66" s="46" t="str">
        <f ca="1">IFERROR(__xludf.DUMMYFUNCTION("""COMPUTED_VALUE"""),"ASCENDENTE")</f>
        <v>ASCENDENTE</v>
      </c>
      <c r="E66" s="46" t="str">
        <f ca="1">IFERROR(__xludf.DUMMYFUNCTION("""COMPUTED_VALUE"""),"BITACORA OPERATIVA")</f>
        <v>BITACORA OPERATIVA</v>
      </c>
      <c r="F66" s="47">
        <f ca="1">IFERROR(__xludf.DUMMYFUNCTION("""COMPUTED_VALUE"""),0)</f>
        <v>0</v>
      </c>
      <c r="G66" s="48">
        <f ca="1">IFERROR(__xludf.DUMMYFUNCTION("""COMPUTED_VALUE"""),0)</f>
        <v>0</v>
      </c>
      <c r="H66" s="48">
        <f ca="1">IFERROR(__xludf.DUMMYFUNCTION("""COMPUTED_VALUE"""),0)</f>
        <v>0</v>
      </c>
      <c r="I66" s="48">
        <f ca="1">IFERROR(__xludf.DUMMYFUNCTION("""COMPUTED_VALUE"""),0)</f>
        <v>0</v>
      </c>
      <c r="J66" s="48">
        <f ca="1">IFERROR(__xludf.DUMMYFUNCTION("""COMPUTED_VALUE"""),0)</f>
        <v>0</v>
      </c>
      <c r="K66" s="48">
        <f ca="1">IFERROR(__xludf.DUMMYFUNCTION("""COMPUTED_VALUE"""),0)</f>
        <v>0</v>
      </c>
      <c r="L66" s="48">
        <f ca="1">IFERROR(__xludf.DUMMYFUNCTION("""COMPUTED_VALUE"""),0)</f>
        <v>0</v>
      </c>
      <c r="M66" s="48">
        <f ca="1">IFERROR(__xludf.DUMMYFUNCTION("""COMPUTED_VALUE"""),0)</f>
        <v>0</v>
      </c>
      <c r="N66" s="48">
        <f ca="1">IFERROR(__xludf.DUMMYFUNCTION("""COMPUTED_VALUE"""),0)</f>
        <v>0</v>
      </c>
      <c r="O66" s="48">
        <f ca="1">IFERROR(__xludf.DUMMYFUNCTION("""COMPUTED_VALUE"""),0)</f>
        <v>0</v>
      </c>
      <c r="P66" s="48">
        <f ca="1">IFERROR(__xludf.DUMMYFUNCTION("""COMPUTED_VALUE"""),0)</f>
        <v>0</v>
      </c>
      <c r="Q66" s="48">
        <f ca="1">IFERROR(__xludf.DUMMYFUNCTION("""COMPUTED_VALUE"""),0)</f>
        <v>0</v>
      </c>
      <c r="R66" s="48">
        <f ca="1">IFERROR(__xludf.DUMMYFUNCTION("""COMPUTED_VALUE"""),0)</f>
        <v>0</v>
      </c>
      <c r="S66" s="48">
        <f ca="1">IFERROR(__xludf.DUMMYFUNCTION("""COMPUTED_VALUE"""),0)</f>
        <v>0</v>
      </c>
    </row>
    <row r="67" spans="1:19">
      <c r="A67" s="46" t="str">
        <f ca="1">IFERROR(__xludf.DUMMYFUNCTION("""COMPUTED_VALUE"""),"DERIVACIÓN DE CASOS (SEGUNDO NIVEL PSIQUIATRÍA,HCG, ISSSTE, SSJ, CISAME, ETC.)) ")</f>
        <v xml:space="preserve">DERIVACIÓN DE CASOS (SEGUNDO NIVEL PSIQUIATRÍA,HCG, ISSSTE, SSJ, CISAME, ETC.)) </v>
      </c>
      <c r="B67" s="46">
        <f ca="1">IFERROR(__xludf.DUMMYFUNCTION("""COMPUTED_VALUE"""),1)</f>
        <v>1</v>
      </c>
      <c r="C67" s="46"/>
      <c r="D67" s="46" t="str">
        <f ca="1">IFERROR(__xludf.DUMMYFUNCTION("""COMPUTED_VALUE"""),"ASCENDENTE")</f>
        <v>ASCENDENTE</v>
      </c>
      <c r="E67" s="46" t="str">
        <f ca="1">IFERROR(__xludf.DUMMYFUNCTION("""COMPUTED_VALUE"""),"BITACORA OPERATIVA")</f>
        <v>BITACORA OPERATIVA</v>
      </c>
      <c r="F67" s="47">
        <f ca="1">IFERROR(__xludf.DUMMYFUNCTION("""COMPUTED_VALUE"""),0)</f>
        <v>0</v>
      </c>
      <c r="G67" s="48">
        <f ca="1">IFERROR(__xludf.DUMMYFUNCTION("""COMPUTED_VALUE"""),0)</f>
        <v>0</v>
      </c>
      <c r="H67" s="48">
        <f ca="1">IFERROR(__xludf.DUMMYFUNCTION("""COMPUTED_VALUE"""),0)</f>
        <v>0</v>
      </c>
      <c r="I67" s="48">
        <f ca="1">IFERROR(__xludf.DUMMYFUNCTION("""COMPUTED_VALUE"""),0)</f>
        <v>0</v>
      </c>
      <c r="J67" s="48">
        <f ca="1">IFERROR(__xludf.DUMMYFUNCTION("""COMPUTED_VALUE"""),0)</f>
        <v>0</v>
      </c>
      <c r="K67" s="48">
        <f ca="1">IFERROR(__xludf.DUMMYFUNCTION("""COMPUTED_VALUE"""),0)</f>
        <v>0</v>
      </c>
      <c r="L67" s="48">
        <f ca="1">IFERROR(__xludf.DUMMYFUNCTION("""COMPUTED_VALUE"""),0)</f>
        <v>0</v>
      </c>
      <c r="M67" s="48">
        <f ca="1">IFERROR(__xludf.DUMMYFUNCTION("""COMPUTED_VALUE"""),0)</f>
        <v>0</v>
      </c>
      <c r="N67" s="48">
        <f ca="1">IFERROR(__xludf.DUMMYFUNCTION("""COMPUTED_VALUE"""),0)</f>
        <v>0</v>
      </c>
      <c r="O67" s="48">
        <f ca="1">IFERROR(__xludf.DUMMYFUNCTION("""COMPUTED_VALUE"""),0)</f>
        <v>0</v>
      </c>
      <c r="P67" s="48">
        <f ca="1">IFERROR(__xludf.DUMMYFUNCTION("""COMPUTED_VALUE"""),0)</f>
        <v>0</v>
      </c>
      <c r="Q67" s="48">
        <f ca="1">IFERROR(__xludf.DUMMYFUNCTION("""COMPUTED_VALUE"""),0)</f>
        <v>0</v>
      </c>
      <c r="R67" s="48">
        <f ca="1">IFERROR(__xludf.DUMMYFUNCTION("""COMPUTED_VALUE"""),0)</f>
        <v>0</v>
      </c>
      <c r="S67" s="48">
        <f ca="1">IFERROR(__xludf.DUMMYFUNCTION("""COMPUTED_VALUE"""),0)</f>
        <v>0</v>
      </c>
    </row>
    <row r="68" spans="1:19">
      <c r="A68" s="46" t="str">
        <f ca="1">IFERROR(__xludf.DUMMYFUNCTION("""COMPUTED_VALUE"""),"CONSULTAS NUTRICIONALES ")</f>
        <v xml:space="preserve">CONSULTAS NUTRICIONALES </v>
      </c>
      <c r="B68" s="46">
        <f ca="1">IFERROR(__xludf.DUMMYFUNCTION("""COMPUTED_VALUE"""),1)</f>
        <v>1</v>
      </c>
      <c r="C68" s="46"/>
      <c r="D68" s="46" t="str">
        <f ca="1">IFERROR(__xludf.DUMMYFUNCTION("""COMPUTED_VALUE"""),"ASCENDENTE")</f>
        <v>ASCENDENTE</v>
      </c>
      <c r="E68" s="46" t="str">
        <f ca="1">IFERROR(__xludf.DUMMYFUNCTION("""COMPUTED_VALUE"""),"BITACORA OPERATIVA")</f>
        <v>BITACORA OPERATIVA</v>
      </c>
      <c r="F68" s="47">
        <f ca="1">IFERROR(__xludf.DUMMYFUNCTION("""COMPUTED_VALUE"""),0)</f>
        <v>0</v>
      </c>
      <c r="G68" s="48">
        <f ca="1">IFERROR(__xludf.DUMMYFUNCTION("""COMPUTED_VALUE"""),0)</f>
        <v>0</v>
      </c>
      <c r="H68" s="48">
        <f ca="1">IFERROR(__xludf.DUMMYFUNCTION("""COMPUTED_VALUE"""),0)</f>
        <v>0</v>
      </c>
      <c r="I68" s="48">
        <f ca="1">IFERROR(__xludf.DUMMYFUNCTION("""COMPUTED_VALUE"""),0)</f>
        <v>0</v>
      </c>
      <c r="J68" s="48">
        <f ca="1">IFERROR(__xludf.DUMMYFUNCTION("""COMPUTED_VALUE"""),0)</f>
        <v>0</v>
      </c>
      <c r="K68" s="48">
        <f ca="1">IFERROR(__xludf.DUMMYFUNCTION("""COMPUTED_VALUE"""),0)</f>
        <v>0</v>
      </c>
      <c r="L68" s="48">
        <f ca="1">IFERROR(__xludf.DUMMYFUNCTION("""COMPUTED_VALUE"""),0)</f>
        <v>0</v>
      </c>
      <c r="M68" s="48">
        <f ca="1">IFERROR(__xludf.DUMMYFUNCTION("""COMPUTED_VALUE"""),0)</f>
        <v>0</v>
      </c>
      <c r="N68" s="48">
        <f ca="1">IFERROR(__xludf.DUMMYFUNCTION("""COMPUTED_VALUE"""),0)</f>
        <v>0</v>
      </c>
      <c r="O68" s="48">
        <f ca="1">IFERROR(__xludf.DUMMYFUNCTION("""COMPUTED_VALUE"""),0)</f>
        <v>0</v>
      </c>
      <c r="P68" s="48">
        <f ca="1">IFERROR(__xludf.DUMMYFUNCTION("""COMPUTED_VALUE"""),0)</f>
        <v>0</v>
      </c>
      <c r="Q68" s="48">
        <f ca="1">IFERROR(__xludf.DUMMYFUNCTION("""COMPUTED_VALUE"""),0)</f>
        <v>0</v>
      </c>
      <c r="R68" s="48">
        <f ca="1">IFERROR(__xludf.DUMMYFUNCTION("""COMPUTED_VALUE"""),0)</f>
        <v>0</v>
      </c>
      <c r="S68" s="48">
        <f ca="1">IFERROR(__xludf.DUMMYFUNCTION("""COMPUTED_VALUE"""),0)</f>
        <v>0</v>
      </c>
    </row>
    <row r="69" spans="1:19">
      <c r="A69" s="46" t="str">
        <f ca="1">IFERROR(__xludf.DUMMYFUNCTION("""COMPUTED_VALUE"""),"CONSULTAS DENTALES A PERSONAL DEL AYUNTAMIENTO    CONSULTAS NUTRICIONALES ")</f>
        <v xml:space="preserve">CONSULTAS DENTALES A PERSONAL DEL AYUNTAMIENTO    CONSULTAS NUTRICIONALES </v>
      </c>
      <c r="B69" s="46">
        <f ca="1">IFERROR(__xludf.DUMMYFUNCTION("""COMPUTED_VALUE"""),1)</f>
        <v>1</v>
      </c>
      <c r="C69" s="46"/>
      <c r="D69" s="46" t="str">
        <f ca="1">IFERROR(__xludf.DUMMYFUNCTION("""COMPUTED_VALUE"""),"ASCENDENTE")</f>
        <v>ASCENDENTE</v>
      </c>
      <c r="E69" s="46" t="str">
        <f ca="1">IFERROR(__xludf.DUMMYFUNCTION("""COMPUTED_VALUE"""),"BITACORA OPERATIVA")</f>
        <v>BITACORA OPERATIVA</v>
      </c>
      <c r="F69" s="47">
        <f ca="1">IFERROR(__xludf.DUMMYFUNCTION("""COMPUTED_VALUE"""),0)</f>
        <v>0</v>
      </c>
      <c r="G69" s="48">
        <f ca="1">IFERROR(__xludf.DUMMYFUNCTION("""COMPUTED_VALUE"""),0)</f>
        <v>0</v>
      </c>
      <c r="H69" s="48">
        <f ca="1">IFERROR(__xludf.DUMMYFUNCTION("""COMPUTED_VALUE"""),0)</f>
        <v>0</v>
      </c>
      <c r="I69" s="48">
        <f ca="1">IFERROR(__xludf.DUMMYFUNCTION("""COMPUTED_VALUE"""),0)</f>
        <v>0</v>
      </c>
      <c r="J69" s="48">
        <f ca="1">IFERROR(__xludf.DUMMYFUNCTION("""COMPUTED_VALUE"""),0)</f>
        <v>0</v>
      </c>
      <c r="K69" s="48">
        <f ca="1">IFERROR(__xludf.DUMMYFUNCTION("""COMPUTED_VALUE"""),0)</f>
        <v>0</v>
      </c>
      <c r="L69" s="48">
        <f ca="1">IFERROR(__xludf.DUMMYFUNCTION("""COMPUTED_VALUE"""),0)</f>
        <v>0</v>
      </c>
      <c r="M69" s="48">
        <f ca="1">IFERROR(__xludf.DUMMYFUNCTION("""COMPUTED_VALUE"""),0)</f>
        <v>0</v>
      </c>
      <c r="N69" s="48">
        <f ca="1">IFERROR(__xludf.DUMMYFUNCTION("""COMPUTED_VALUE"""),0)</f>
        <v>0</v>
      </c>
      <c r="O69" s="48">
        <f ca="1">IFERROR(__xludf.DUMMYFUNCTION("""COMPUTED_VALUE"""),0)</f>
        <v>0</v>
      </c>
      <c r="P69" s="48">
        <f ca="1">IFERROR(__xludf.DUMMYFUNCTION("""COMPUTED_VALUE"""),0)</f>
        <v>0</v>
      </c>
      <c r="Q69" s="48">
        <f ca="1">IFERROR(__xludf.DUMMYFUNCTION("""COMPUTED_VALUE"""),0)</f>
        <v>0</v>
      </c>
      <c r="R69" s="48">
        <f ca="1">IFERROR(__xludf.DUMMYFUNCTION("""COMPUTED_VALUE"""),0)</f>
        <v>0</v>
      </c>
      <c r="S69" s="48">
        <f ca="1">IFERROR(__xludf.DUMMYFUNCTION("""COMPUTED_VALUE"""),0)</f>
        <v>0</v>
      </c>
    </row>
    <row r="70" spans="1:19">
      <c r="A70" s="46" t="str">
        <f ca="1">IFERROR(__xludf.DUMMYFUNCTION("""COMPUTED_VALUE"""),"CONSULTAS DENTALES A POBLACION ABIERTA ")</f>
        <v xml:space="preserve">CONSULTAS DENTALES A POBLACION ABIERTA </v>
      </c>
      <c r="B70" s="46">
        <f ca="1">IFERROR(__xludf.DUMMYFUNCTION("""COMPUTED_VALUE"""),1)</f>
        <v>1</v>
      </c>
      <c r="C70" s="46"/>
      <c r="D70" s="46" t="str">
        <f ca="1">IFERROR(__xludf.DUMMYFUNCTION("""COMPUTED_VALUE"""),"ASCENDENTE")</f>
        <v>ASCENDENTE</v>
      </c>
      <c r="E70" s="46" t="str">
        <f ca="1">IFERROR(__xludf.DUMMYFUNCTION("""COMPUTED_VALUE"""),"BITACORA OPERATIVA")</f>
        <v>BITACORA OPERATIVA</v>
      </c>
      <c r="F70" s="47">
        <f ca="1">IFERROR(__xludf.DUMMYFUNCTION("""COMPUTED_VALUE"""),0)</f>
        <v>0</v>
      </c>
      <c r="G70" s="48">
        <f ca="1">IFERROR(__xludf.DUMMYFUNCTION("""COMPUTED_VALUE"""),0)</f>
        <v>0</v>
      </c>
      <c r="H70" s="48">
        <f ca="1">IFERROR(__xludf.DUMMYFUNCTION("""COMPUTED_VALUE"""),0)</f>
        <v>0</v>
      </c>
      <c r="I70" s="48">
        <f ca="1">IFERROR(__xludf.DUMMYFUNCTION("""COMPUTED_VALUE"""),0)</f>
        <v>0</v>
      </c>
      <c r="J70" s="48">
        <f ca="1">IFERROR(__xludf.DUMMYFUNCTION("""COMPUTED_VALUE"""),0)</f>
        <v>0</v>
      </c>
      <c r="K70" s="48">
        <f ca="1">IFERROR(__xludf.DUMMYFUNCTION("""COMPUTED_VALUE"""),0)</f>
        <v>0</v>
      </c>
      <c r="L70" s="48">
        <f ca="1">IFERROR(__xludf.DUMMYFUNCTION("""COMPUTED_VALUE"""),0)</f>
        <v>0</v>
      </c>
      <c r="M70" s="48">
        <f ca="1">IFERROR(__xludf.DUMMYFUNCTION("""COMPUTED_VALUE"""),0)</f>
        <v>0</v>
      </c>
      <c r="N70" s="48">
        <f ca="1">IFERROR(__xludf.DUMMYFUNCTION("""COMPUTED_VALUE"""),0)</f>
        <v>0</v>
      </c>
      <c r="O70" s="48">
        <f ca="1">IFERROR(__xludf.DUMMYFUNCTION("""COMPUTED_VALUE"""),0)</f>
        <v>0</v>
      </c>
      <c r="P70" s="48">
        <f ca="1">IFERROR(__xludf.DUMMYFUNCTION("""COMPUTED_VALUE"""),0)</f>
        <v>0</v>
      </c>
      <c r="Q70" s="48">
        <f ca="1">IFERROR(__xludf.DUMMYFUNCTION("""COMPUTED_VALUE"""),0)</f>
        <v>0</v>
      </c>
      <c r="R70" s="48">
        <f ca="1">IFERROR(__xludf.DUMMYFUNCTION("""COMPUTED_VALUE"""),0)</f>
        <v>0</v>
      </c>
      <c r="S70" s="48">
        <f ca="1">IFERROR(__xludf.DUMMYFUNCTION("""COMPUTED_VALUE"""),0)</f>
        <v>0</v>
      </c>
    </row>
    <row r="71" spans="1:19">
      <c r="A71" s="46" t="str">
        <f ca="1">IFERROR(__xludf.DUMMYFUNCTION("""COMPUTED_VALUE"""),"CONSULTAS MEDICAS A PERSONAL DEL AYUNTAMIENTO ")</f>
        <v xml:space="preserve">CONSULTAS MEDICAS A PERSONAL DEL AYUNTAMIENTO </v>
      </c>
      <c r="B71" s="46">
        <f ca="1">IFERROR(__xludf.DUMMYFUNCTION("""COMPUTED_VALUE"""),1)</f>
        <v>1</v>
      </c>
      <c r="C71" s="46"/>
      <c r="D71" s="46" t="str">
        <f ca="1">IFERROR(__xludf.DUMMYFUNCTION("""COMPUTED_VALUE"""),"ASCENDENTE")</f>
        <v>ASCENDENTE</v>
      </c>
      <c r="E71" s="46" t="str">
        <f ca="1">IFERROR(__xludf.DUMMYFUNCTION("""COMPUTED_VALUE"""),"BITACORA OPERATIVA")</f>
        <v>BITACORA OPERATIVA</v>
      </c>
      <c r="F71" s="47">
        <f ca="1">IFERROR(__xludf.DUMMYFUNCTION("""COMPUTED_VALUE"""),0)</f>
        <v>0</v>
      </c>
      <c r="G71" s="48">
        <f ca="1">IFERROR(__xludf.DUMMYFUNCTION("""COMPUTED_VALUE"""),0)</f>
        <v>0</v>
      </c>
      <c r="H71" s="48">
        <f ca="1">IFERROR(__xludf.DUMMYFUNCTION("""COMPUTED_VALUE"""),0)</f>
        <v>0</v>
      </c>
      <c r="I71" s="48">
        <f ca="1">IFERROR(__xludf.DUMMYFUNCTION("""COMPUTED_VALUE"""),0)</f>
        <v>0</v>
      </c>
      <c r="J71" s="48">
        <f ca="1">IFERROR(__xludf.DUMMYFUNCTION("""COMPUTED_VALUE"""),0)</f>
        <v>0</v>
      </c>
      <c r="K71" s="48">
        <f ca="1">IFERROR(__xludf.DUMMYFUNCTION("""COMPUTED_VALUE"""),0)</f>
        <v>0</v>
      </c>
      <c r="L71" s="48">
        <f ca="1">IFERROR(__xludf.DUMMYFUNCTION("""COMPUTED_VALUE"""),0)</f>
        <v>0</v>
      </c>
      <c r="M71" s="48">
        <f ca="1">IFERROR(__xludf.DUMMYFUNCTION("""COMPUTED_VALUE"""),0)</f>
        <v>0</v>
      </c>
      <c r="N71" s="48">
        <f ca="1">IFERROR(__xludf.DUMMYFUNCTION("""COMPUTED_VALUE"""),0)</f>
        <v>0</v>
      </c>
      <c r="O71" s="48">
        <f ca="1">IFERROR(__xludf.DUMMYFUNCTION("""COMPUTED_VALUE"""),0)</f>
        <v>0</v>
      </c>
      <c r="P71" s="48">
        <f ca="1">IFERROR(__xludf.DUMMYFUNCTION("""COMPUTED_VALUE"""),0)</f>
        <v>0</v>
      </c>
      <c r="Q71" s="48">
        <f ca="1">IFERROR(__xludf.DUMMYFUNCTION("""COMPUTED_VALUE"""),0)</f>
        <v>0</v>
      </c>
      <c r="R71" s="48">
        <f ca="1">IFERROR(__xludf.DUMMYFUNCTION("""COMPUTED_VALUE"""),0)</f>
        <v>0</v>
      </c>
      <c r="S71" s="48">
        <f ca="1">IFERROR(__xludf.DUMMYFUNCTION("""COMPUTED_VALUE"""),0)</f>
        <v>0</v>
      </c>
    </row>
    <row r="72" spans="1:19">
      <c r="A72" s="46" t="str">
        <f ca="1">IFERROR(__xludf.DUMMYFUNCTION("""COMPUTED_VALUE"""),"CONSULTAS MEDICAS A POBLACION EN GENERAL ")</f>
        <v xml:space="preserve">CONSULTAS MEDICAS A POBLACION EN GENERAL </v>
      </c>
      <c r="B72" s="46">
        <f ca="1">IFERROR(__xludf.DUMMYFUNCTION("""COMPUTED_VALUE"""),1)</f>
        <v>1</v>
      </c>
      <c r="C72" s="46"/>
      <c r="D72" s="46" t="str">
        <f ca="1">IFERROR(__xludf.DUMMYFUNCTION("""COMPUTED_VALUE"""),"ASCENDENTE")</f>
        <v>ASCENDENTE</v>
      </c>
      <c r="E72" s="46" t="str">
        <f ca="1">IFERROR(__xludf.DUMMYFUNCTION("""COMPUTED_VALUE"""),"BITACORA OPERATIVA")</f>
        <v>BITACORA OPERATIVA</v>
      </c>
      <c r="F72" s="47">
        <f ca="1">IFERROR(__xludf.DUMMYFUNCTION("""COMPUTED_VALUE"""),0)</f>
        <v>0</v>
      </c>
      <c r="G72" s="48">
        <f ca="1">IFERROR(__xludf.DUMMYFUNCTION("""COMPUTED_VALUE"""),0)</f>
        <v>0</v>
      </c>
      <c r="H72" s="48">
        <f ca="1">IFERROR(__xludf.DUMMYFUNCTION("""COMPUTED_VALUE"""),0)</f>
        <v>0</v>
      </c>
      <c r="I72" s="48">
        <f ca="1">IFERROR(__xludf.DUMMYFUNCTION("""COMPUTED_VALUE"""),0)</f>
        <v>0</v>
      </c>
      <c r="J72" s="48">
        <f ca="1">IFERROR(__xludf.DUMMYFUNCTION("""COMPUTED_VALUE"""),0)</f>
        <v>0</v>
      </c>
      <c r="K72" s="48">
        <f ca="1">IFERROR(__xludf.DUMMYFUNCTION("""COMPUTED_VALUE"""),0)</f>
        <v>0</v>
      </c>
      <c r="L72" s="48">
        <f ca="1">IFERROR(__xludf.DUMMYFUNCTION("""COMPUTED_VALUE"""),0)</f>
        <v>0</v>
      </c>
      <c r="M72" s="48">
        <f ca="1">IFERROR(__xludf.DUMMYFUNCTION("""COMPUTED_VALUE"""),0)</f>
        <v>0</v>
      </c>
      <c r="N72" s="48">
        <f ca="1">IFERROR(__xludf.DUMMYFUNCTION("""COMPUTED_VALUE"""),0)</f>
        <v>0</v>
      </c>
      <c r="O72" s="48">
        <f ca="1">IFERROR(__xludf.DUMMYFUNCTION("""COMPUTED_VALUE"""),0)</f>
        <v>0</v>
      </c>
      <c r="P72" s="48">
        <f ca="1">IFERROR(__xludf.DUMMYFUNCTION("""COMPUTED_VALUE"""),0)</f>
        <v>0</v>
      </c>
      <c r="Q72" s="48">
        <f ca="1">IFERROR(__xludf.DUMMYFUNCTION("""COMPUTED_VALUE"""),0)</f>
        <v>0</v>
      </c>
      <c r="R72" s="48">
        <f ca="1">IFERROR(__xludf.DUMMYFUNCTION("""COMPUTED_VALUE"""),0)</f>
        <v>0</v>
      </c>
      <c r="S72" s="48">
        <f ca="1">IFERROR(__xludf.DUMMYFUNCTION("""COMPUTED_VALUE"""),0)</f>
        <v>0</v>
      </c>
    </row>
    <row r="73" spans="1:19">
      <c r="A73" s="46" t="str">
        <f ca="1">IFERROR(__xludf.DUMMYFUNCTION("""COMPUTED_VALUE"""),"INCAPACIDADES OTORGADAS A SERVIDORES PUBLICOS ")</f>
        <v xml:space="preserve">INCAPACIDADES OTORGADAS A SERVIDORES PUBLICOS </v>
      </c>
      <c r="B73" s="46">
        <f ca="1">IFERROR(__xludf.DUMMYFUNCTION("""COMPUTED_VALUE"""),1)</f>
        <v>1</v>
      </c>
      <c r="C73" s="46"/>
      <c r="D73" s="46" t="str">
        <f ca="1">IFERROR(__xludf.DUMMYFUNCTION("""COMPUTED_VALUE"""),"ASCENDENTE")</f>
        <v>ASCENDENTE</v>
      </c>
      <c r="E73" s="46" t="str">
        <f ca="1">IFERROR(__xludf.DUMMYFUNCTION("""COMPUTED_VALUE"""),"BITACORA OPERATIVA")</f>
        <v>BITACORA OPERATIVA</v>
      </c>
      <c r="F73" s="47">
        <f ca="1">IFERROR(__xludf.DUMMYFUNCTION("""COMPUTED_VALUE"""),0)</f>
        <v>0</v>
      </c>
      <c r="G73" s="48">
        <f ca="1">IFERROR(__xludf.DUMMYFUNCTION("""COMPUTED_VALUE"""),0)</f>
        <v>0</v>
      </c>
      <c r="H73" s="48">
        <f ca="1">IFERROR(__xludf.DUMMYFUNCTION("""COMPUTED_VALUE"""),0)</f>
        <v>0</v>
      </c>
      <c r="I73" s="48">
        <f ca="1">IFERROR(__xludf.DUMMYFUNCTION("""COMPUTED_VALUE"""),0)</f>
        <v>0</v>
      </c>
      <c r="J73" s="48">
        <f ca="1">IFERROR(__xludf.DUMMYFUNCTION("""COMPUTED_VALUE"""),0)</f>
        <v>0</v>
      </c>
      <c r="K73" s="48">
        <f ca="1">IFERROR(__xludf.DUMMYFUNCTION("""COMPUTED_VALUE"""),0)</f>
        <v>0</v>
      </c>
      <c r="L73" s="48">
        <f ca="1">IFERROR(__xludf.DUMMYFUNCTION("""COMPUTED_VALUE"""),0)</f>
        <v>0</v>
      </c>
      <c r="M73" s="48">
        <f ca="1">IFERROR(__xludf.DUMMYFUNCTION("""COMPUTED_VALUE"""),0)</f>
        <v>0</v>
      </c>
      <c r="N73" s="48">
        <f ca="1">IFERROR(__xludf.DUMMYFUNCTION("""COMPUTED_VALUE"""),0)</f>
        <v>0</v>
      </c>
      <c r="O73" s="48">
        <f ca="1">IFERROR(__xludf.DUMMYFUNCTION("""COMPUTED_VALUE"""),0)</f>
        <v>0</v>
      </c>
      <c r="P73" s="48">
        <f ca="1">IFERROR(__xludf.DUMMYFUNCTION("""COMPUTED_VALUE"""),0)</f>
        <v>0</v>
      </c>
      <c r="Q73" s="48">
        <f ca="1">IFERROR(__xludf.DUMMYFUNCTION("""COMPUTED_VALUE"""),0)</f>
        <v>0</v>
      </c>
      <c r="R73" s="48">
        <f ca="1">IFERROR(__xludf.DUMMYFUNCTION("""COMPUTED_VALUE"""),0)</f>
        <v>0</v>
      </c>
      <c r="S73" s="48">
        <f ca="1">IFERROR(__xludf.DUMMYFUNCTION("""COMPUTED_VALUE"""),0)</f>
        <v>0</v>
      </c>
    </row>
    <row r="74" spans="1:19">
      <c r="A74" s="46" t="str">
        <f ca="1">IFERROR(__xludf.DUMMYFUNCTION("""COMPUTED_VALUE"""),"DIAS DE INCAPACIDAD OTORGADOS ")</f>
        <v xml:space="preserve">DIAS DE INCAPACIDAD OTORGADOS </v>
      </c>
      <c r="B74" s="46">
        <f ca="1">IFERROR(__xludf.DUMMYFUNCTION("""COMPUTED_VALUE"""),1)</f>
        <v>1</v>
      </c>
      <c r="C74" s="46"/>
      <c r="D74" s="46" t="str">
        <f ca="1">IFERROR(__xludf.DUMMYFUNCTION("""COMPUTED_VALUE"""),"ASCENDENTE")</f>
        <v>ASCENDENTE</v>
      </c>
      <c r="E74" s="46" t="str">
        <f ca="1">IFERROR(__xludf.DUMMYFUNCTION("""COMPUTED_VALUE"""),"BITACORA OPERATIVA")</f>
        <v>BITACORA OPERATIVA</v>
      </c>
      <c r="F74" s="47">
        <f ca="1">IFERROR(__xludf.DUMMYFUNCTION("""COMPUTED_VALUE"""),0)</f>
        <v>0</v>
      </c>
      <c r="G74" s="48">
        <f ca="1">IFERROR(__xludf.DUMMYFUNCTION("""COMPUTED_VALUE"""),0)</f>
        <v>0</v>
      </c>
      <c r="H74" s="48">
        <f ca="1">IFERROR(__xludf.DUMMYFUNCTION("""COMPUTED_VALUE"""),0)</f>
        <v>0</v>
      </c>
      <c r="I74" s="48">
        <f ca="1">IFERROR(__xludf.DUMMYFUNCTION("""COMPUTED_VALUE"""),0)</f>
        <v>0</v>
      </c>
      <c r="J74" s="48">
        <f ca="1">IFERROR(__xludf.DUMMYFUNCTION("""COMPUTED_VALUE"""),0)</f>
        <v>0</v>
      </c>
      <c r="K74" s="48">
        <f ca="1">IFERROR(__xludf.DUMMYFUNCTION("""COMPUTED_VALUE"""),0)</f>
        <v>0</v>
      </c>
      <c r="L74" s="48">
        <f ca="1">IFERROR(__xludf.DUMMYFUNCTION("""COMPUTED_VALUE"""),0)</f>
        <v>0</v>
      </c>
      <c r="M74" s="48">
        <f ca="1">IFERROR(__xludf.DUMMYFUNCTION("""COMPUTED_VALUE"""),0)</f>
        <v>0</v>
      </c>
      <c r="N74" s="48">
        <f ca="1">IFERROR(__xludf.DUMMYFUNCTION("""COMPUTED_VALUE"""),0)</f>
        <v>0</v>
      </c>
      <c r="O74" s="48">
        <f ca="1">IFERROR(__xludf.DUMMYFUNCTION("""COMPUTED_VALUE"""),0)</f>
        <v>0</v>
      </c>
      <c r="P74" s="48">
        <f ca="1">IFERROR(__xludf.DUMMYFUNCTION("""COMPUTED_VALUE"""),0)</f>
        <v>0</v>
      </c>
      <c r="Q74" s="48">
        <f ca="1">IFERROR(__xludf.DUMMYFUNCTION("""COMPUTED_VALUE"""),0)</f>
        <v>0</v>
      </c>
      <c r="R74" s="48">
        <f ca="1">IFERROR(__xludf.DUMMYFUNCTION("""COMPUTED_VALUE"""),0)</f>
        <v>0</v>
      </c>
      <c r="S74" s="48">
        <f ca="1">IFERROR(__xludf.DUMMYFUNCTION("""COMPUTED_VALUE"""),0)</f>
        <v>0</v>
      </c>
    </row>
    <row r="75" spans="1:19">
      <c r="A75" s="46" t="str">
        <f ca="1">IFERROR(__xludf.DUMMYFUNCTION("""COMPUTED_VALUE"""),"RECETAS EXPEDIDAS A PERSONAL DEL AYUNTAMIENTO ")</f>
        <v xml:space="preserve">RECETAS EXPEDIDAS A PERSONAL DEL AYUNTAMIENTO </v>
      </c>
      <c r="B75" s="46">
        <f ca="1">IFERROR(__xludf.DUMMYFUNCTION("""COMPUTED_VALUE"""),1)</f>
        <v>1</v>
      </c>
      <c r="C75" s="46"/>
      <c r="D75" s="46" t="str">
        <f ca="1">IFERROR(__xludf.DUMMYFUNCTION("""COMPUTED_VALUE"""),"ASCENDENTE")</f>
        <v>ASCENDENTE</v>
      </c>
      <c r="E75" s="46" t="str">
        <f ca="1">IFERROR(__xludf.DUMMYFUNCTION("""COMPUTED_VALUE"""),"BITACORA OPERATIVA")</f>
        <v>BITACORA OPERATIVA</v>
      </c>
      <c r="F75" s="47">
        <f ca="1">IFERROR(__xludf.DUMMYFUNCTION("""COMPUTED_VALUE"""),0)</f>
        <v>0</v>
      </c>
      <c r="G75" s="48">
        <f ca="1">IFERROR(__xludf.DUMMYFUNCTION("""COMPUTED_VALUE"""),0)</f>
        <v>0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IFERROR(__xludf.DUMMYFUNCTION("""COMPUTED_VALUE"""),0)</f>
        <v>0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IFERROR(__xludf.DUMMYFUNCTION("""COMPUTED_VALUE"""),0)</f>
        <v>0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</row>
    <row r="76" spans="1:19">
      <c r="A76" s="46" t="str">
        <f ca="1">IFERROR(__xludf.DUMMYFUNCTION("""COMPUTED_VALUE"""),"RECETAS EXPEDIDAS A POBLACION EN GENERAL ")</f>
        <v xml:space="preserve">RECETAS EXPEDIDAS A POBLACION EN GENERAL </v>
      </c>
      <c r="B76" s="46">
        <f ca="1">IFERROR(__xludf.DUMMYFUNCTION("""COMPUTED_VALUE"""),1)</f>
        <v>1</v>
      </c>
      <c r="C76" s="46"/>
      <c r="D76" s="46" t="str">
        <f ca="1">IFERROR(__xludf.DUMMYFUNCTION("""COMPUTED_VALUE"""),"ASCENDENTE")</f>
        <v>ASCENDENTE</v>
      </c>
      <c r="E76" s="46" t="str">
        <f ca="1">IFERROR(__xludf.DUMMYFUNCTION("""COMPUTED_VALUE"""),"BITACORA OPERATIVA")</f>
        <v>BITACORA OPERATIVA</v>
      </c>
      <c r="F76" s="47">
        <f ca="1">IFERROR(__xludf.DUMMYFUNCTION("""COMPUTED_VALUE"""),0)</f>
        <v>0</v>
      </c>
      <c r="G76" s="48">
        <f ca="1">IFERROR(__xludf.DUMMYFUNCTION("""COMPUTED_VALUE"""),0)</f>
        <v>0</v>
      </c>
      <c r="H76" s="48">
        <f ca="1">IFERROR(__xludf.DUMMYFUNCTION("""COMPUTED_VALUE"""),0)</f>
        <v>0</v>
      </c>
      <c r="I76" s="48">
        <f ca="1">IFERROR(__xludf.DUMMYFUNCTION("""COMPUTED_VALUE"""),0)</f>
        <v>0</v>
      </c>
      <c r="J76" s="48">
        <f ca="1">IFERROR(__xludf.DUMMYFUNCTION("""COMPUTED_VALUE"""),0)</f>
        <v>0</v>
      </c>
      <c r="K76" s="48">
        <f ca="1">IFERROR(__xludf.DUMMYFUNCTION("""COMPUTED_VALUE"""),0)</f>
        <v>0</v>
      </c>
      <c r="L76" s="48">
        <f ca="1">IFERROR(__xludf.DUMMYFUNCTION("""COMPUTED_VALUE"""),0)</f>
        <v>0</v>
      </c>
      <c r="M76" s="48">
        <f ca="1">IFERROR(__xludf.DUMMYFUNCTION("""COMPUTED_VALUE"""),0)</f>
        <v>0</v>
      </c>
      <c r="N76" s="48">
        <f ca="1">IFERROR(__xludf.DUMMYFUNCTION("""COMPUTED_VALUE"""),0)</f>
        <v>0</v>
      </c>
      <c r="O76" s="48">
        <f ca="1">IFERROR(__xludf.DUMMYFUNCTION("""COMPUTED_VALUE"""),0)</f>
        <v>0</v>
      </c>
      <c r="P76" s="48">
        <f ca="1">IFERROR(__xludf.DUMMYFUNCTION("""COMPUTED_VALUE"""),0)</f>
        <v>0</v>
      </c>
      <c r="Q76" s="48">
        <f ca="1">IFERROR(__xludf.DUMMYFUNCTION("""COMPUTED_VALUE"""),0)</f>
        <v>0</v>
      </c>
      <c r="R76" s="48">
        <f ca="1">IFERROR(__xludf.DUMMYFUNCTION("""COMPUTED_VALUE"""),0)</f>
        <v>0</v>
      </c>
      <c r="S76" s="48">
        <f ca="1">IFERROR(__xludf.DUMMYFUNCTION("""COMPUTED_VALUE"""),0)</f>
        <v>0</v>
      </c>
    </row>
    <row r="77" spans="1:19">
      <c r="A77" s="46" t="str">
        <f ca="1">IFERROR(__xludf.DUMMYFUNCTION("""COMPUTED_VALUE"""),"EMERGENCIAS ATENDIDAS EN LA UNIDAD MEDICA ")</f>
        <v xml:space="preserve">EMERGENCIAS ATENDIDAS EN LA UNIDAD MEDICA </v>
      </c>
      <c r="B77" s="46">
        <f ca="1">IFERROR(__xludf.DUMMYFUNCTION("""COMPUTED_VALUE"""),1)</f>
        <v>1</v>
      </c>
      <c r="C77" s="46"/>
      <c r="D77" s="46" t="str">
        <f ca="1">IFERROR(__xludf.DUMMYFUNCTION("""COMPUTED_VALUE"""),"ASCENDENTE")</f>
        <v>ASCENDENTE</v>
      </c>
      <c r="E77" s="46" t="str">
        <f ca="1">IFERROR(__xludf.DUMMYFUNCTION("""COMPUTED_VALUE"""),"BITACORA OPERATIVA")</f>
        <v>BITACORA OPERATIVA</v>
      </c>
      <c r="F77" s="47">
        <f ca="1">IFERROR(__xludf.DUMMYFUNCTION("""COMPUTED_VALUE"""),0)</f>
        <v>0</v>
      </c>
      <c r="G77" s="48">
        <f ca="1">IFERROR(__xludf.DUMMYFUNCTION("""COMPUTED_VALUE"""),0)</f>
        <v>0</v>
      </c>
      <c r="H77" s="48">
        <f ca="1">IFERROR(__xludf.DUMMYFUNCTION("""COMPUTED_VALUE"""),0)</f>
        <v>0</v>
      </c>
      <c r="I77" s="48">
        <f ca="1">IFERROR(__xludf.DUMMYFUNCTION("""COMPUTED_VALUE"""),0)</f>
        <v>0</v>
      </c>
      <c r="J77" s="48">
        <f ca="1">IFERROR(__xludf.DUMMYFUNCTION("""COMPUTED_VALUE"""),0)</f>
        <v>0</v>
      </c>
      <c r="K77" s="48">
        <f ca="1">IFERROR(__xludf.DUMMYFUNCTION("""COMPUTED_VALUE"""),0)</f>
        <v>0</v>
      </c>
      <c r="L77" s="48">
        <f ca="1">IFERROR(__xludf.DUMMYFUNCTION("""COMPUTED_VALUE"""),0)</f>
        <v>0</v>
      </c>
      <c r="M77" s="48">
        <f ca="1">IFERROR(__xludf.DUMMYFUNCTION("""COMPUTED_VALUE"""),0)</f>
        <v>0</v>
      </c>
      <c r="N77" s="48">
        <f ca="1">IFERROR(__xludf.DUMMYFUNCTION("""COMPUTED_VALUE"""),0)</f>
        <v>0</v>
      </c>
      <c r="O77" s="48">
        <f ca="1">IFERROR(__xludf.DUMMYFUNCTION("""COMPUTED_VALUE"""),0)</f>
        <v>0</v>
      </c>
      <c r="P77" s="48">
        <f ca="1">IFERROR(__xludf.DUMMYFUNCTION("""COMPUTED_VALUE"""),0)</f>
        <v>0</v>
      </c>
      <c r="Q77" s="48">
        <f ca="1">IFERROR(__xludf.DUMMYFUNCTION("""COMPUTED_VALUE"""),0)</f>
        <v>0</v>
      </c>
      <c r="R77" s="48">
        <f ca="1">IFERROR(__xludf.DUMMYFUNCTION("""COMPUTED_VALUE"""),0)</f>
        <v>0</v>
      </c>
      <c r="S77" s="48">
        <f ca="1">IFERROR(__xludf.DUMMYFUNCTION("""COMPUTED_VALUE"""),0)</f>
        <v>0</v>
      </c>
    </row>
    <row r="78" spans="1:19">
      <c r="A78" s="46" t="str">
        <f ca="1">IFERROR(__xludf.DUMMYFUNCTION("""COMPUTED_VALUE"""),"EMERGENCIAS ATENDIDAS EN VIA PUBLICA ")</f>
        <v xml:space="preserve">EMERGENCIAS ATENDIDAS EN VIA PUBLICA </v>
      </c>
      <c r="B78" s="46">
        <f ca="1">IFERROR(__xludf.DUMMYFUNCTION("""COMPUTED_VALUE"""),1)</f>
        <v>1</v>
      </c>
      <c r="C78" s="46"/>
      <c r="D78" s="46" t="str">
        <f ca="1">IFERROR(__xludf.DUMMYFUNCTION("""COMPUTED_VALUE"""),"ASCENDENTE")</f>
        <v>ASCENDENTE</v>
      </c>
      <c r="E78" s="46" t="str">
        <f ca="1">IFERROR(__xludf.DUMMYFUNCTION("""COMPUTED_VALUE"""),"BITACORA OPERATIVA")</f>
        <v>BITACORA OPERATIVA</v>
      </c>
      <c r="F78" s="47">
        <f ca="1">IFERROR(__xludf.DUMMYFUNCTION("""COMPUTED_VALUE"""),0)</f>
        <v>0</v>
      </c>
      <c r="G78" s="48">
        <f ca="1">IFERROR(__xludf.DUMMYFUNCTION("""COMPUTED_VALUE"""),0)</f>
        <v>0</v>
      </c>
      <c r="H78" s="48">
        <f ca="1">IFERROR(__xludf.DUMMYFUNCTION("""COMPUTED_VALUE"""),0)</f>
        <v>0</v>
      </c>
      <c r="I78" s="48">
        <f ca="1">IFERROR(__xludf.DUMMYFUNCTION("""COMPUTED_VALUE"""),0)</f>
        <v>0</v>
      </c>
      <c r="J78" s="48">
        <f ca="1">IFERROR(__xludf.DUMMYFUNCTION("""COMPUTED_VALUE"""),0)</f>
        <v>0</v>
      </c>
      <c r="K78" s="48">
        <f ca="1">IFERROR(__xludf.DUMMYFUNCTION("""COMPUTED_VALUE"""),0)</f>
        <v>0</v>
      </c>
      <c r="L78" s="48">
        <f ca="1">IFERROR(__xludf.DUMMYFUNCTION("""COMPUTED_VALUE"""),0)</f>
        <v>0</v>
      </c>
      <c r="M78" s="48">
        <f ca="1">IFERROR(__xludf.DUMMYFUNCTION("""COMPUTED_VALUE"""),0)</f>
        <v>0</v>
      </c>
      <c r="N78" s="48">
        <f ca="1">IFERROR(__xludf.DUMMYFUNCTION("""COMPUTED_VALUE"""),0)</f>
        <v>0</v>
      </c>
      <c r="O78" s="48">
        <f ca="1">IFERROR(__xludf.DUMMYFUNCTION("""COMPUTED_VALUE"""),0)</f>
        <v>0</v>
      </c>
      <c r="P78" s="48">
        <f ca="1">IFERROR(__xludf.DUMMYFUNCTION("""COMPUTED_VALUE"""),0)</f>
        <v>0</v>
      </c>
      <c r="Q78" s="48">
        <f ca="1">IFERROR(__xludf.DUMMYFUNCTION("""COMPUTED_VALUE"""),0)</f>
        <v>0</v>
      </c>
      <c r="R78" s="48">
        <f ca="1">IFERROR(__xludf.DUMMYFUNCTION("""COMPUTED_VALUE"""),0)</f>
        <v>0</v>
      </c>
      <c r="S78" s="48">
        <f ca="1">IFERROR(__xludf.DUMMYFUNCTION("""COMPUTED_VALUE"""),0)</f>
        <v>0</v>
      </c>
    </row>
    <row r="79" spans="1:19">
      <c r="A79" s="46" t="str">
        <f ca="1">IFERROR(__xludf.DUMMYFUNCTION("""COMPUTED_VALUE"""),"CERTIFICADOS MEDICOS EXPEDIDOS A PERSONAL DEL AYUNTAMIENTO ")</f>
        <v xml:space="preserve">CERTIFICADOS MEDICOS EXPEDIDOS A PERSONAL DEL AYUNTAMIENTO </v>
      </c>
      <c r="B79" s="46">
        <f ca="1">IFERROR(__xludf.DUMMYFUNCTION("""COMPUTED_VALUE"""),1)</f>
        <v>1</v>
      </c>
      <c r="C79" s="46"/>
      <c r="D79" s="46" t="str">
        <f ca="1">IFERROR(__xludf.DUMMYFUNCTION("""COMPUTED_VALUE"""),"ASCENDENTE")</f>
        <v>ASCENDENTE</v>
      </c>
      <c r="E79" s="46" t="str">
        <f ca="1">IFERROR(__xludf.DUMMYFUNCTION("""COMPUTED_VALUE"""),"BITACORA OPERATIVA")</f>
        <v>BITACORA OPERATIVA</v>
      </c>
      <c r="F79" s="47">
        <f ca="1">IFERROR(__xludf.DUMMYFUNCTION("""COMPUTED_VALUE"""),0)</f>
        <v>0</v>
      </c>
      <c r="G79" s="48">
        <f ca="1">IFERROR(__xludf.DUMMYFUNCTION("""COMPUTED_VALUE"""),0)</f>
        <v>0</v>
      </c>
      <c r="H79" s="48">
        <f ca="1">IFERROR(__xludf.DUMMYFUNCTION("""COMPUTED_VALUE"""),0)</f>
        <v>0</v>
      </c>
      <c r="I79" s="48">
        <f ca="1">IFERROR(__xludf.DUMMYFUNCTION("""COMPUTED_VALUE"""),0)</f>
        <v>0</v>
      </c>
      <c r="J79" s="48">
        <f ca="1">IFERROR(__xludf.DUMMYFUNCTION("""COMPUTED_VALUE"""),0)</f>
        <v>0</v>
      </c>
      <c r="K79" s="48">
        <f ca="1">IFERROR(__xludf.DUMMYFUNCTION("""COMPUTED_VALUE"""),0)</f>
        <v>0</v>
      </c>
      <c r="L79" s="48">
        <f ca="1">IFERROR(__xludf.DUMMYFUNCTION("""COMPUTED_VALUE"""),0)</f>
        <v>0</v>
      </c>
      <c r="M79" s="48">
        <f ca="1">IFERROR(__xludf.DUMMYFUNCTION("""COMPUTED_VALUE"""),0)</f>
        <v>0</v>
      </c>
      <c r="N79" s="48">
        <f ca="1">IFERROR(__xludf.DUMMYFUNCTION("""COMPUTED_VALUE"""),0)</f>
        <v>0</v>
      </c>
      <c r="O79" s="48">
        <f ca="1">IFERROR(__xludf.DUMMYFUNCTION("""COMPUTED_VALUE"""),0)</f>
        <v>0</v>
      </c>
      <c r="P79" s="48">
        <f ca="1">IFERROR(__xludf.DUMMYFUNCTION("""COMPUTED_VALUE"""),0)</f>
        <v>0</v>
      </c>
      <c r="Q79" s="48">
        <f ca="1">IFERROR(__xludf.DUMMYFUNCTION("""COMPUTED_VALUE"""),0)</f>
        <v>0</v>
      </c>
      <c r="R79" s="48">
        <f ca="1">IFERROR(__xludf.DUMMYFUNCTION("""COMPUTED_VALUE"""),0)</f>
        <v>0</v>
      </c>
      <c r="S79" s="48">
        <f ca="1">IFERROR(__xludf.DUMMYFUNCTION("""COMPUTED_VALUE"""),0)</f>
        <v>0</v>
      </c>
    </row>
    <row r="80" spans="1:19">
      <c r="A80" s="46" t="str">
        <f ca="1">IFERROR(__xludf.DUMMYFUNCTION("""COMPUTED_VALUE"""),"CERTIFICADOS MEDICOS EXPEDIDOS A POBLACION EN GENERAL ")</f>
        <v xml:space="preserve">CERTIFICADOS MEDICOS EXPEDIDOS A POBLACION EN GENERAL </v>
      </c>
      <c r="B80" s="46">
        <f ca="1">IFERROR(__xludf.DUMMYFUNCTION("""COMPUTED_VALUE"""),1)</f>
        <v>1</v>
      </c>
      <c r="C80" s="46"/>
      <c r="D80" s="46" t="str">
        <f ca="1">IFERROR(__xludf.DUMMYFUNCTION("""COMPUTED_VALUE"""),"ASCENDENTE")</f>
        <v>ASCENDENTE</v>
      </c>
      <c r="E80" s="46" t="str">
        <f ca="1">IFERROR(__xludf.DUMMYFUNCTION("""COMPUTED_VALUE"""),"BITACORA OPERATIVA")</f>
        <v>BITACORA OPERATIVA</v>
      </c>
      <c r="F80" s="47">
        <f ca="1">IFERROR(__xludf.DUMMYFUNCTION("""COMPUTED_VALUE"""),0)</f>
        <v>0</v>
      </c>
      <c r="G80" s="48">
        <f ca="1">IFERROR(__xludf.DUMMYFUNCTION("""COMPUTED_VALUE"""),0)</f>
        <v>0</v>
      </c>
      <c r="H80" s="48">
        <f ca="1">IFERROR(__xludf.DUMMYFUNCTION("""COMPUTED_VALUE"""),0)</f>
        <v>0</v>
      </c>
      <c r="I80" s="48">
        <f ca="1">IFERROR(__xludf.DUMMYFUNCTION("""COMPUTED_VALUE"""),0)</f>
        <v>0</v>
      </c>
      <c r="J80" s="48">
        <f ca="1">IFERROR(__xludf.DUMMYFUNCTION("""COMPUTED_VALUE"""),0)</f>
        <v>0</v>
      </c>
      <c r="K80" s="48">
        <f ca="1">IFERROR(__xludf.DUMMYFUNCTION("""COMPUTED_VALUE"""),0)</f>
        <v>0</v>
      </c>
      <c r="L80" s="48">
        <f ca="1">IFERROR(__xludf.DUMMYFUNCTION("""COMPUTED_VALUE"""),0)</f>
        <v>0</v>
      </c>
      <c r="M80" s="48">
        <f ca="1">IFERROR(__xludf.DUMMYFUNCTION("""COMPUTED_VALUE"""),0)</f>
        <v>0</v>
      </c>
      <c r="N80" s="48">
        <f ca="1">IFERROR(__xludf.DUMMYFUNCTION("""COMPUTED_VALUE"""),0)</f>
        <v>0</v>
      </c>
      <c r="O80" s="48">
        <f ca="1">IFERROR(__xludf.DUMMYFUNCTION("""COMPUTED_VALUE"""),0)</f>
        <v>0</v>
      </c>
      <c r="P80" s="48">
        <f ca="1">IFERROR(__xludf.DUMMYFUNCTION("""COMPUTED_VALUE"""),0)</f>
        <v>0</v>
      </c>
      <c r="Q80" s="48">
        <f ca="1">IFERROR(__xludf.DUMMYFUNCTION("""COMPUTED_VALUE"""),0)</f>
        <v>0</v>
      </c>
      <c r="R80" s="48">
        <f ca="1">IFERROR(__xludf.DUMMYFUNCTION("""COMPUTED_VALUE"""),0)</f>
        <v>0</v>
      </c>
      <c r="S80" s="48">
        <f ca="1">IFERROR(__xludf.DUMMYFUNCTION("""COMPUTED_VALUE"""),0)</f>
        <v>0</v>
      </c>
    </row>
    <row r="81" spans="1:19">
      <c r="A81" s="46" t="str">
        <f ca="1">IFERROR(__xludf.DUMMYFUNCTION("""COMPUTED_VALUE"""),"PLÁTICAS DE NUTRICIÓN, MEDICINA DENTAL Y ENFERMERÍA  ")</f>
        <v xml:space="preserve">PLÁTICAS DE NUTRICIÓN, MEDICINA DENTAL Y ENFERMERÍA  </v>
      </c>
      <c r="B81" s="46">
        <f ca="1">IFERROR(__xludf.DUMMYFUNCTION("""COMPUTED_VALUE"""),1)</f>
        <v>1</v>
      </c>
      <c r="C81" s="46"/>
      <c r="D81" s="46" t="str">
        <f ca="1">IFERROR(__xludf.DUMMYFUNCTION("""COMPUTED_VALUE"""),"ASCENDENTE")</f>
        <v>ASCENDENTE</v>
      </c>
      <c r="E81" s="46" t="str">
        <f ca="1">IFERROR(__xludf.DUMMYFUNCTION("""COMPUTED_VALUE"""),"BITACORA OPERATIVA")</f>
        <v>BITACORA OPERATIVA</v>
      </c>
      <c r="F81" s="47">
        <f ca="1">IFERROR(__xludf.DUMMYFUNCTION("""COMPUTED_VALUE"""),0)</f>
        <v>0</v>
      </c>
      <c r="G81" s="48">
        <f ca="1">IFERROR(__xludf.DUMMYFUNCTION("""COMPUTED_VALUE"""),0)</f>
        <v>0</v>
      </c>
      <c r="H81" s="48">
        <f ca="1">IFERROR(__xludf.DUMMYFUNCTION("""COMPUTED_VALUE"""),0)</f>
        <v>0</v>
      </c>
      <c r="I81" s="48">
        <f ca="1">IFERROR(__xludf.DUMMYFUNCTION("""COMPUTED_VALUE"""),0)</f>
        <v>0</v>
      </c>
      <c r="J81" s="48">
        <f ca="1">IFERROR(__xludf.DUMMYFUNCTION("""COMPUTED_VALUE"""),0)</f>
        <v>0</v>
      </c>
      <c r="K81" s="48">
        <f ca="1">IFERROR(__xludf.DUMMYFUNCTION("""COMPUTED_VALUE"""),0)</f>
        <v>0</v>
      </c>
      <c r="L81" s="48">
        <f ca="1">IFERROR(__xludf.DUMMYFUNCTION("""COMPUTED_VALUE"""),0)</f>
        <v>0</v>
      </c>
      <c r="M81" s="48">
        <f ca="1">IFERROR(__xludf.DUMMYFUNCTION("""COMPUTED_VALUE"""),0)</f>
        <v>0</v>
      </c>
      <c r="N81" s="48">
        <f ca="1">IFERROR(__xludf.DUMMYFUNCTION("""COMPUTED_VALUE"""),0)</f>
        <v>0</v>
      </c>
      <c r="O81" s="48">
        <f ca="1">IFERROR(__xludf.DUMMYFUNCTION("""COMPUTED_VALUE"""),0)</f>
        <v>0</v>
      </c>
      <c r="P81" s="48">
        <f ca="1">IFERROR(__xludf.DUMMYFUNCTION("""COMPUTED_VALUE"""),0)</f>
        <v>0</v>
      </c>
      <c r="Q81" s="48">
        <f ca="1">IFERROR(__xludf.DUMMYFUNCTION("""COMPUTED_VALUE"""),0)</f>
        <v>0</v>
      </c>
      <c r="R81" s="48">
        <f ca="1">IFERROR(__xludf.DUMMYFUNCTION("""COMPUTED_VALUE"""),0)</f>
        <v>0</v>
      </c>
      <c r="S81" s="48">
        <f ca="1">IFERROR(__xludf.DUMMYFUNCTION("""COMPUTED_VALUE"""),0)</f>
        <v>0</v>
      </c>
    </row>
    <row r="82" spans="1:19">
      <c r="A82" s="46" t="str">
        <f ca="1">IFERROR(__xludf.DUMMYFUNCTION("""COMPUTED_VALUE"""),"NÚMERO DE ASISTENTES ")</f>
        <v xml:space="preserve">NÚMERO DE ASISTENTES </v>
      </c>
      <c r="B82" s="46">
        <f ca="1">IFERROR(__xludf.DUMMYFUNCTION("""COMPUTED_VALUE"""),1)</f>
        <v>1</v>
      </c>
      <c r="C82" s="46"/>
      <c r="D82" s="46" t="str">
        <f ca="1">IFERROR(__xludf.DUMMYFUNCTION("""COMPUTED_VALUE"""),"ASCENDENTE")</f>
        <v>ASCENDENTE</v>
      </c>
      <c r="E82" s="46" t="str">
        <f ca="1">IFERROR(__xludf.DUMMYFUNCTION("""COMPUTED_VALUE"""),"BITACORA OPERATIVA")</f>
        <v>BITACORA OPERATIVA</v>
      </c>
      <c r="F82" s="47">
        <f ca="1">IFERROR(__xludf.DUMMYFUNCTION("""COMPUTED_VALUE"""),0)</f>
        <v>0</v>
      </c>
      <c r="G82" s="48">
        <f ca="1">IFERROR(__xludf.DUMMYFUNCTION("""COMPUTED_VALUE"""),0)</f>
        <v>0</v>
      </c>
      <c r="H82" s="48">
        <f ca="1">IFERROR(__xludf.DUMMYFUNCTION("""COMPUTED_VALUE"""),0)</f>
        <v>0</v>
      </c>
      <c r="I82" s="48">
        <f ca="1">IFERROR(__xludf.DUMMYFUNCTION("""COMPUTED_VALUE"""),0)</f>
        <v>0</v>
      </c>
      <c r="J82" s="48">
        <f ca="1">IFERROR(__xludf.DUMMYFUNCTION("""COMPUTED_VALUE"""),0)</f>
        <v>0</v>
      </c>
      <c r="K82" s="48">
        <f ca="1">IFERROR(__xludf.DUMMYFUNCTION("""COMPUTED_VALUE"""),0)</f>
        <v>0</v>
      </c>
      <c r="L82" s="48">
        <f ca="1">IFERROR(__xludf.DUMMYFUNCTION("""COMPUTED_VALUE"""),0)</f>
        <v>0</v>
      </c>
      <c r="M82" s="48">
        <f ca="1">IFERROR(__xludf.DUMMYFUNCTION("""COMPUTED_VALUE"""),0)</f>
        <v>0</v>
      </c>
      <c r="N82" s="48">
        <f ca="1">IFERROR(__xludf.DUMMYFUNCTION("""COMPUTED_VALUE"""),0)</f>
        <v>0</v>
      </c>
      <c r="O82" s="48">
        <f ca="1">IFERROR(__xludf.DUMMYFUNCTION("""COMPUTED_VALUE"""),0)</f>
        <v>0</v>
      </c>
      <c r="P82" s="48">
        <f ca="1">IFERROR(__xludf.DUMMYFUNCTION("""COMPUTED_VALUE"""),0)</f>
        <v>0</v>
      </c>
      <c r="Q82" s="48">
        <f ca="1">IFERROR(__xludf.DUMMYFUNCTION("""COMPUTED_VALUE"""),0)</f>
        <v>0</v>
      </c>
      <c r="R82" s="48">
        <f ca="1">IFERROR(__xludf.DUMMYFUNCTION("""COMPUTED_VALUE"""),0)</f>
        <v>0</v>
      </c>
      <c r="S82" s="48">
        <f ca="1">IFERROR(__xludf.DUMMYFUNCTION("""COMPUTED_VALUE"""),0)</f>
        <v>0</v>
      </c>
    </row>
    <row r="83" spans="1:19">
      <c r="A83" s="46" t="str">
        <f ca="1">IFERROR(__xludf.DUMMYFUNCTION("""COMPUTED_VALUE"""),"VISITAS A CENTRO DE TRABAJO    ")</f>
        <v xml:space="preserve">VISITAS A CENTRO DE TRABAJO    </v>
      </c>
      <c r="B83" s="46">
        <f ca="1">IFERROR(__xludf.DUMMYFUNCTION("""COMPUTED_VALUE"""),1)</f>
        <v>1</v>
      </c>
      <c r="C83" s="46"/>
      <c r="D83" s="46" t="str">
        <f ca="1">IFERROR(__xludf.DUMMYFUNCTION("""COMPUTED_VALUE"""),"ASCENDENTE")</f>
        <v>ASCENDENTE</v>
      </c>
      <c r="E83" s="46" t="str">
        <f ca="1">IFERROR(__xludf.DUMMYFUNCTION("""COMPUTED_VALUE"""),"BITACORA OPERATIVA")</f>
        <v>BITACORA OPERATIVA</v>
      </c>
      <c r="F83" s="47">
        <f ca="1">IFERROR(__xludf.DUMMYFUNCTION("""COMPUTED_VALUE"""),0)</f>
        <v>0</v>
      </c>
      <c r="G83" s="48">
        <f ca="1">IFERROR(__xludf.DUMMYFUNCTION("""COMPUTED_VALUE"""),0)</f>
        <v>0</v>
      </c>
      <c r="H83" s="48">
        <f ca="1">IFERROR(__xludf.DUMMYFUNCTION("""COMPUTED_VALUE"""),0)</f>
        <v>0</v>
      </c>
      <c r="I83" s="48">
        <f ca="1">IFERROR(__xludf.DUMMYFUNCTION("""COMPUTED_VALUE"""),0)</f>
        <v>0</v>
      </c>
      <c r="J83" s="48">
        <f ca="1">IFERROR(__xludf.DUMMYFUNCTION("""COMPUTED_VALUE"""),0)</f>
        <v>0</v>
      </c>
      <c r="K83" s="48">
        <f ca="1">IFERROR(__xludf.DUMMYFUNCTION("""COMPUTED_VALUE"""),0)</f>
        <v>0</v>
      </c>
      <c r="L83" s="48">
        <f ca="1">IFERROR(__xludf.DUMMYFUNCTION("""COMPUTED_VALUE"""),0)</f>
        <v>0</v>
      </c>
      <c r="M83" s="48">
        <f ca="1">IFERROR(__xludf.DUMMYFUNCTION("""COMPUTED_VALUE"""),0)</f>
        <v>0</v>
      </c>
      <c r="N83" s="48">
        <f ca="1">IFERROR(__xludf.DUMMYFUNCTION("""COMPUTED_VALUE"""),0)</f>
        <v>0</v>
      </c>
      <c r="O83" s="48">
        <f ca="1">IFERROR(__xludf.DUMMYFUNCTION("""COMPUTED_VALUE"""),0)</f>
        <v>0</v>
      </c>
      <c r="P83" s="48">
        <f ca="1">IFERROR(__xludf.DUMMYFUNCTION("""COMPUTED_VALUE"""),0)</f>
        <v>0</v>
      </c>
      <c r="Q83" s="48">
        <f ca="1">IFERROR(__xludf.DUMMYFUNCTION("""COMPUTED_VALUE"""),0)</f>
        <v>0</v>
      </c>
      <c r="R83" s="48">
        <f ca="1">IFERROR(__xludf.DUMMYFUNCTION("""COMPUTED_VALUE"""),0)</f>
        <v>0</v>
      </c>
      <c r="S83" s="48">
        <f ca="1">IFERROR(__xludf.DUMMYFUNCTION("""COMPUTED_VALUE"""),0)</f>
        <v>0</v>
      </c>
    </row>
    <row r="84" spans="1:19">
      <c r="A84" s="46" t="str">
        <f ca="1">IFERROR(__xludf.DUMMYFUNCTION("""COMPUTED_VALUE"""),"TOTAL DE ATENCIONES EN EMERGENCIAS ")</f>
        <v xml:space="preserve">TOTAL DE ATENCIONES EN EMERGENCIAS </v>
      </c>
      <c r="B84" s="46">
        <f ca="1">IFERROR(__xludf.DUMMYFUNCTION("""COMPUTED_VALUE"""),1)</f>
        <v>1</v>
      </c>
      <c r="C84" s="46"/>
      <c r="D84" s="46" t="str">
        <f ca="1">IFERROR(__xludf.DUMMYFUNCTION("""COMPUTED_VALUE"""),"ASCENDENTE")</f>
        <v>ASCENDENTE</v>
      </c>
      <c r="E84" s="46" t="str">
        <f ca="1">IFERROR(__xludf.DUMMYFUNCTION("""COMPUTED_VALUE"""),"BITACORA OPERATIVA")</f>
        <v>BITACORA OPERATIVA</v>
      </c>
      <c r="F84" s="47">
        <f ca="1">IFERROR(__xludf.DUMMYFUNCTION("""COMPUTED_VALUE"""),0)</f>
        <v>0</v>
      </c>
      <c r="G84" s="48">
        <f ca="1">IFERROR(__xludf.DUMMYFUNCTION("""COMPUTED_VALUE"""),0)</f>
        <v>0</v>
      </c>
      <c r="H84" s="48">
        <f ca="1">IFERROR(__xludf.DUMMYFUNCTION("""COMPUTED_VALUE"""),0)</f>
        <v>0</v>
      </c>
      <c r="I84" s="48">
        <f ca="1">IFERROR(__xludf.DUMMYFUNCTION("""COMPUTED_VALUE"""),0)</f>
        <v>0</v>
      </c>
      <c r="J84" s="48">
        <f ca="1">IFERROR(__xludf.DUMMYFUNCTION("""COMPUTED_VALUE"""),0)</f>
        <v>0</v>
      </c>
      <c r="K84" s="48">
        <f ca="1">IFERROR(__xludf.DUMMYFUNCTION("""COMPUTED_VALUE"""),0)</f>
        <v>0</v>
      </c>
      <c r="L84" s="48">
        <f ca="1">IFERROR(__xludf.DUMMYFUNCTION("""COMPUTED_VALUE"""),0)</f>
        <v>0</v>
      </c>
      <c r="M84" s="48">
        <f ca="1">IFERROR(__xludf.DUMMYFUNCTION("""COMPUTED_VALUE"""),0)</f>
        <v>0</v>
      </c>
      <c r="N84" s="48">
        <f ca="1">IFERROR(__xludf.DUMMYFUNCTION("""COMPUTED_VALUE"""),0)</f>
        <v>0</v>
      </c>
      <c r="O84" s="48">
        <f ca="1">IFERROR(__xludf.DUMMYFUNCTION("""COMPUTED_VALUE"""),0)</f>
        <v>0</v>
      </c>
      <c r="P84" s="48">
        <f ca="1">IFERROR(__xludf.DUMMYFUNCTION("""COMPUTED_VALUE"""),0)</f>
        <v>0</v>
      </c>
      <c r="Q84" s="48">
        <f ca="1">IFERROR(__xludf.DUMMYFUNCTION("""COMPUTED_VALUE"""),0)</f>
        <v>0</v>
      </c>
      <c r="R84" s="48">
        <f ca="1">IFERROR(__xludf.DUMMYFUNCTION("""COMPUTED_VALUE"""),0)</f>
        <v>0</v>
      </c>
      <c r="S84" s="48">
        <f ca="1">IFERROR(__xludf.DUMMYFUNCTION("""COMPUTED_VALUE"""),0)</f>
        <v>0</v>
      </c>
    </row>
    <row r="85" spans="1:19">
      <c r="A85" s="46" t="str">
        <f ca="1">IFERROR(__xludf.DUMMYFUNCTION("""COMPUTED_VALUE"""),"
HOSPITALIZACIONES ")</f>
        <v xml:space="preserve">
HOSPITALIZACIONES </v>
      </c>
      <c r="B85" s="46">
        <f ca="1">IFERROR(__xludf.DUMMYFUNCTION("""COMPUTED_VALUE"""),1)</f>
        <v>1</v>
      </c>
      <c r="C85" s="46"/>
      <c r="D85" s="46" t="str">
        <f ca="1">IFERROR(__xludf.DUMMYFUNCTION("""COMPUTED_VALUE"""),"ASCENDENTE")</f>
        <v>ASCENDENTE</v>
      </c>
      <c r="E85" s="46" t="str">
        <f ca="1">IFERROR(__xludf.DUMMYFUNCTION("""COMPUTED_VALUE"""),"BITACORA OPERATIVA")</f>
        <v>BITACORA OPERATIVA</v>
      </c>
      <c r="F85" s="47">
        <f ca="1">IFERROR(__xludf.DUMMYFUNCTION("""COMPUTED_VALUE"""),0)</f>
        <v>0</v>
      </c>
      <c r="G85" s="48">
        <f ca="1">IFERROR(__xludf.DUMMYFUNCTION("""COMPUTED_VALUE"""),0)</f>
        <v>0</v>
      </c>
      <c r="H85" s="48">
        <f ca="1">IFERROR(__xludf.DUMMYFUNCTION("""COMPUTED_VALUE"""),0)</f>
        <v>0</v>
      </c>
      <c r="I85" s="48">
        <f ca="1">IFERROR(__xludf.DUMMYFUNCTION("""COMPUTED_VALUE"""),0)</f>
        <v>0</v>
      </c>
      <c r="J85" s="48">
        <f ca="1">IFERROR(__xludf.DUMMYFUNCTION("""COMPUTED_VALUE"""),0)</f>
        <v>0</v>
      </c>
      <c r="K85" s="48">
        <f ca="1">IFERROR(__xludf.DUMMYFUNCTION("""COMPUTED_VALUE"""),0)</f>
        <v>0</v>
      </c>
      <c r="L85" s="48">
        <f ca="1">IFERROR(__xludf.DUMMYFUNCTION("""COMPUTED_VALUE"""),0)</f>
        <v>0</v>
      </c>
      <c r="M85" s="48">
        <f ca="1">IFERROR(__xludf.DUMMYFUNCTION("""COMPUTED_VALUE"""),0)</f>
        <v>0</v>
      </c>
      <c r="N85" s="48">
        <f ca="1">IFERROR(__xludf.DUMMYFUNCTION("""COMPUTED_VALUE"""),0)</f>
        <v>0</v>
      </c>
      <c r="O85" s="48">
        <f ca="1">IFERROR(__xludf.DUMMYFUNCTION("""COMPUTED_VALUE"""),0)</f>
        <v>0</v>
      </c>
      <c r="P85" s="48">
        <f ca="1">IFERROR(__xludf.DUMMYFUNCTION("""COMPUTED_VALUE"""),0)</f>
        <v>0</v>
      </c>
      <c r="Q85" s="48">
        <f ca="1">IFERROR(__xludf.DUMMYFUNCTION("""COMPUTED_VALUE"""),0)</f>
        <v>0</v>
      </c>
      <c r="R85" s="48">
        <f ca="1">IFERROR(__xludf.DUMMYFUNCTION("""COMPUTED_VALUE"""),0)</f>
        <v>0</v>
      </c>
      <c r="S85" s="48">
        <f ca="1">IFERROR(__xludf.DUMMYFUNCTION("""COMPUTED_VALUE"""),0)</f>
        <v>0</v>
      </c>
    </row>
    <row r="86" spans="1:19">
      <c r="A86" s="46" t="str">
        <f ca="1">IFERROR(__xludf.DUMMYFUNCTION("""COMPUTED_VALUE"""),"CURACIONES")</f>
        <v>CURACIONES</v>
      </c>
      <c r="B86" s="46">
        <f ca="1">IFERROR(__xludf.DUMMYFUNCTION("""COMPUTED_VALUE"""),1)</f>
        <v>1</v>
      </c>
      <c r="C86" s="46"/>
      <c r="D86" s="46" t="str">
        <f ca="1">IFERROR(__xludf.DUMMYFUNCTION("""COMPUTED_VALUE"""),"ASCENDENTE")</f>
        <v>ASCENDENTE</v>
      </c>
      <c r="E86" s="46" t="str">
        <f ca="1">IFERROR(__xludf.DUMMYFUNCTION("""COMPUTED_VALUE"""),"BITACORA OPERATIVA")</f>
        <v>BITACORA OPERATIVA</v>
      </c>
      <c r="F86" s="47">
        <f ca="1">IFERROR(__xludf.DUMMYFUNCTION("""COMPUTED_VALUE"""),0)</f>
        <v>0</v>
      </c>
      <c r="G86" s="48">
        <f ca="1">IFERROR(__xludf.DUMMYFUNCTION("""COMPUTED_VALUE"""),0)</f>
        <v>0</v>
      </c>
      <c r="H86" s="48">
        <f ca="1">IFERROR(__xludf.DUMMYFUNCTION("""COMPUTED_VALUE"""),0)</f>
        <v>0</v>
      </c>
      <c r="I86" s="48">
        <f ca="1">IFERROR(__xludf.DUMMYFUNCTION("""COMPUTED_VALUE"""),0)</f>
        <v>0</v>
      </c>
      <c r="J86" s="48">
        <f ca="1">IFERROR(__xludf.DUMMYFUNCTION("""COMPUTED_VALUE"""),0)</f>
        <v>0</v>
      </c>
      <c r="K86" s="48">
        <f ca="1">IFERROR(__xludf.DUMMYFUNCTION("""COMPUTED_VALUE"""),0)</f>
        <v>0</v>
      </c>
      <c r="L86" s="48">
        <f ca="1">IFERROR(__xludf.DUMMYFUNCTION("""COMPUTED_VALUE"""),0)</f>
        <v>0</v>
      </c>
      <c r="M86" s="48">
        <f ca="1">IFERROR(__xludf.DUMMYFUNCTION("""COMPUTED_VALUE"""),0)</f>
        <v>0</v>
      </c>
      <c r="N86" s="48">
        <f ca="1">IFERROR(__xludf.DUMMYFUNCTION("""COMPUTED_VALUE"""),0)</f>
        <v>0</v>
      </c>
      <c r="O86" s="48">
        <f ca="1">IFERROR(__xludf.DUMMYFUNCTION("""COMPUTED_VALUE"""),0)</f>
        <v>0</v>
      </c>
      <c r="P86" s="48">
        <f ca="1">IFERROR(__xludf.DUMMYFUNCTION("""COMPUTED_VALUE"""),0)</f>
        <v>0</v>
      </c>
      <c r="Q86" s="48">
        <f ca="1">IFERROR(__xludf.DUMMYFUNCTION("""COMPUTED_VALUE"""),0)</f>
        <v>0</v>
      </c>
      <c r="R86" s="48">
        <f ca="1">IFERROR(__xludf.DUMMYFUNCTION("""COMPUTED_VALUE"""),0)</f>
        <v>0</v>
      </c>
      <c r="S86" s="48">
        <f ca="1">IFERROR(__xludf.DUMMYFUNCTION("""COMPUTED_VALUE"""),0)</f>
        <v>0</v>
      </c>
    </row>
    <row r="87" spans="1:19">
      <c r="A87" s="46" t="str">
        <f ca="1">IFERROR(__xludf.DUMMYFUNCTION("""COMPUTED_VALUE"""),"SUTURAS")</f>
        <v>SUTURAS</v>
      </c>
      <c r="B87" s="46">
        <f ca="1">IFERROR(__xludf.DUMMYFUNCTION("""COMPUTED_VALUE"""),1)</f>
        <v>1</v>
      </c>
      <c r="C87" s="46"/>
      <c r="D87" s="46" t="str">
        <f ca="1">IFERROR(__xludf.DUMMYFUNCTION("""COMPUTED_VALUE"""),"ASCENDENTE")</f>
        <v>ASCENDENTE</v>
      </c>
      <c r="E87" s="46" t="str">
        <f ca="1">IFERROR(__xludf.DUMMYFUNCTION("""COMPUTED_VALUE"""),"BITACORA OPERATIVA")</f>
        <v>BITACORA OPERATIVA</v>
      </c>
      <c r="F87" s="47">
        <f ca="1">IFERROR(__xludf.DUMMYFUNCTION("""COMPUTED_VALUE"""),0)</f>
        <v>0</v>
      </c>
      <c r="G87" s="48">
        <f ca="1">IFERROR(__xludf.DUMMYFUNCTION("""COMPUTED_VALUE"""),0)</f>
        <v>0</v>
      </c>
      <c r="H87" s="48">
        <f ca="1">IFERROR(__xludf.DUMMYFUNCTION("""COMPUTED_VALUE"""),0)</f>
        <v>0</v>
      </c>
      <c r="I87" s="48">
        <f ca="1">IFERROR(__xludf.DUMMYFUNCTION("""COMPUTED_VALUE"""),0)</f>
        <v>0</v>
      </c>
      <c r="J87" s="48">
        <f ca="1">IFERROR(__xludf.DUMMYFUNCTION("""COMPUTED_VALUE"""),0)</f>
        <v>0</v>
      </c>
      <c r="K87" s="48">
        <f ca="1">IFERROR(__xludf.DUMMYFUNCTION("""COMPUTED_VALUE"""),0)</f>
        <v>0</v>
      </c>
      <c r="L87" s="48">
        <f ca="1">IFERROR(__xludf.DUMMYFUNCTION("""COMPUTED_VALUE"""),0)</f>
        <v>0</v>
      </c>
      <c r="M87" s="48">
        <f ca="1">IFERROR(__xludf.DUMMYFUNCTION("""COMPUTED_VALUE"""),0)</f>
        <v>0</v>
      </c>
      <c r="N87" s="48">
        <f ca="1">IFERROR(__xludf.DUMMYFUNCTION("""COMPUTED_VALUE"""),0)</f>
        <v>0</v>
      </c>
      <c r="O87" s="48">
        <f ca="1">IFERROR(__xludf.DUMMYFUNCTION("""COMPUTED_VALUE"""),0)</f>
        <v>0</v>
      </c>
      <c r="P87" s="48">
        <f ca="1">IFERROR(__xludf.DUMMYFUNCTION("""COMPUTED_VALUE"""),0)</f>
        <v>0</v>
      </c>
      <c r="Q87" s="48">
        <f ca="1">IFERROR(__xludf.DUMMYFUNCTION("""COMPUTED_VALUE"""),0)</f>
        <v>0</v>
      </c>
      <c r="R87" s="48">
        <f ca="1">IFERROR(__xludf.DUMMYFUNCTION("""COMPUTED_VALUE"""),0)</f>
        <v>0</v>
      </c>
      <c r="S87" s="48">
        <f ca="1">IFERROR(__xludf.DUMMYFUNCTION("""COMPUTED_VALUE"""),0)</f>
        <v>0</v>
      </c>
    </row>
    <row r="88" spans="1:19">
      <c r="A88" s="46" t="str">
        <f ca="1">IFERROR(__xludf.DUMMYFUNCTION("""COMPUTED_VALUE"""),"ATENCIÓN DE LESIONES")</f>
        <v>ATENCIÓN DE LESIONES</v>
      </c>
      <c r="B88" s="46">
        <f ca="1">IFERROR(__xludf.DUMMYFUNCTION("""COMPUTED_VALUE"""),1)</f>
        <v>1</v>
      </c>
      <c r="C88" s="46"/>
      <c r="D88" s="46" t="str">
        <f ca="1">IFERROR(__xludf.DUMMYFUNCTION("""COMPUTED_VALUE"""),"ASCENDENTE")</f>
        <v>ASCENDENTE</v>
      </c>
      <c r="E88" s="46" t="str">
        <f ca="1">IFERROR(__xludf.DUMMYFUNCTION("""COMPUTED_VALUE"""),"BITACORA OPERATIVA")</f>
        <v>BITACORA OPERATIVA</v>
      </c>
      <c r="F88" s="47">
        <f ca="1">IFERROR(__xludf.DUMMYFUNCTION("""COMPUTED_VALUE"""),0)</f>
        <v>0</v>
      </c>
      <c r="G88" s="48">
        <f ca="1">IFERROR(__xludf.DUMMYFUNCTION("""COMPUTED_VALUE"""),0)</f>
        <v>0</v>
      </c>
      <c r="H88" s="48">
        <f ca="1">IFERROR(__xludf.DUMMYFUNCTION("""COMPUTED_VALUE"""),0)</f>
        <v>0</v>
      </c>
      <c r="I88" s="48">
        <f ca="1">IFERROR(__xludf.DUMMYFUNCTION("""COMPUTED_VALUE"""),0)</f>
        <v>0</v>
      </c>
      <c r="J88" s="48">
        <f ca="1">IFERROR(__xludf.DUMMYFUNCTION("""COMPUTED_VALUE"""),0)</f>
        <v>0</v>
      </c>
      <c r="K88" s="48">
        <f ca="1">IFERROR(__xludf.DUMMYFUNCTION("""COMPUTED_VALUE"""),0)</f>
        <v>0</v>
      </c>
      <c r="L88" s="48">
        <f ca="1">IFERROR(__xludf.DUMMYFUNCTION("""COMPUTED_VALUE"""),0)</f>
        <v>0</v>
      </c>
      <c r="M88" s="48">
        <f ca="1">IFERROR(__xludf.DUMMYFUNCTION("""COMPUTED_VALUE"""),0)</f>
        <v>0</v>
      </c>
      <c r="N88" s="48">
        <f ca="1">IFERROR(__xludf.DUMMYFUNCTION("""COMPUTED_VALUE"""),0)</f>
        <v>0</v>
      </c>
      <c r="O88" s="48">
        <f ca="1">IFERROR(__xludf.DUMMYFUNCTION("""COMPUTED_VALUE"""),0)</f>
        <v>0</v>
      </c>
      <c r="P88" s="48">
        <f ca="1">IFERROR(__xludf.DUMMYFUNCTION("""COMPUTED_VALUE"""),0)</f>
        <v>0</v>
      </c>
      <c r="Q88" s="48">
        <f ca="1">IFERROR(__xludf.DUMMYFUNCTION("""COMPUTED_VALUE"""),0)</f>
        <v>0</v>
      </c>
      <c r="R88" s="48">
        <f ca="1">IFERROR(__xludf.DUMMYFUNCTION("""COMPUTED_VALUE"""),0)</f>
        <v>0</v>
      </c>
      <c r="S88" s="48">
        <f ca="1">IFERROR(__xludf.DUMMYFUNCTION("""COMPUTED_VALUE"""),0)</f>
        <v>0</v>
      </c>
    </row>
    <row r="89" spans="1:19">
      <c r="A89" s="46" t="str">
        <f ca="1">IFERROR(__xludf.DUMMYFUNCTION("""COMPUTED_VALUE"""),"RETIRO DE PUNTOS DE SUTURA")</f>
        <v>RETIRO DE PUNTOS DE SUTURA</v>
      </c>
      <c r="B89" s="46">
        <f ca="1">IFERROR(__xludf.DUMMYFUNCTION("""COMPUTED_VALUE"""),1)</f>
        <v>1</v>
      </c>
      <c r="C89" s="46"/>
      <c r="D89" s="46" t="str">
        <f ca="1">IFERROR(__xludf.DUMMYFUNCTION("""COMPUTED_VALUE"""),"ASCENDENTE")</f>
        <v>ASCENDENTE</v>
      </c>
      <c r="E89" s="46" t="str">
        <f ca="1">IFERROR(__xludf.DUMMYFUNCTION("""COMPUTED_VALUE"""),"BITACORA OPERATIVA")</f>
        <v>BITACORA OPERATIVA</v>
      </c>
      <c r="F89" s="47">
        <f ca="1">IFERROR(__xludf.DUMMYFUNCTION("""COMPUTED_VALUE"""),0)</f>
        <v>0</v>
      </c>
      <c r="G89" s="48">
        <f ca="1">IFERROR(__xludf.DUMMYFUNCTION("""COMPUTED_VALUE"""),0)</f>
        <v>0</v>
      </c>
      <c r="H89" s="48">
        <f ca="1">IFERROR(__xludf.DUMMYFUNCTION("""COMPUTED_VALUE"""),0)</f>
        <v>0</v>
      </c>
      <c r="I89" s="48">
        <f ca="1">IFERROR(__xludf.DUMMYFUNCTION("""COMPUTED_VALUE"""),0)</f>
        <v>0</v>
      </c>
      <c r="J89" s="48">
        <f ca="1">IFERROR(__xludf.DUMMYFUNCTION("""COMPUTED_VALUE"""),0)</f>
        <v>0</v>
      </c>
      <c r="K89" s="48">
        <f ca="1">IFERROR(__xludf.DUMMYFUNCTION("""COMPUTED_VALUE"""),0)</f>
        <v>0</v>
      </c>
      <c r="L89" s="48">
        <f ca="1">IFERROR(__xludf.DUMMYFUNCTION("""COMPUTED_VALUE"""),0)</f>
        <v>0</v>
      </c>
      <c r="M89" s="48">
        <f ca="1">IFERROR(__xludf.DUMMYFUNCTION("""COMPUTED_VALUE"""),0)</f>
        <v>0</v>
      </c>
      <c r="N89" s="48">
        <f ca="1">IFERROR(__xludf.DUMMYFUNCTION("""COMPUTED_VALUE"""),0)</f>
        <v>0</v>
      </c>
      <c r="O89" s="48">
        <f ca="1">IFERROR(__xludf.DUMMYFUNCTION("""COMPUTED_VALUE"""),0)</f>
        <v>0</v>
      </c>
      <c r="P89" s="48">
        <f ca="1">IFERROR(__xludf.DUMMYFUNCTION("""COMPUTED_VALUE"""),0)</f>
        <v>0</v>
      </c>
      <c r="Q89" s="48">
        <f ca="1">IFERROR(__xludf.DUMMYFUNCTION("""COMPUTED_VALUE"""),0)</f>
        <v>0</v>
      </c>
      <c r="R89" s="48">
        <f ca="1">IFERROR(__xludf.DUMMYFUNCTION("""COMPUTED_VALUE"""),0)</f>
        <v>0</v>
      </c>
      <c r="S89" s="48">
        <f ca="1">IFERROR(__xludf.DUMMYFUNCTION("""COMPUTED_VALUE"""),0)</f>
        <v>0</v>
      </c>
    </row>
    <row r="90" spans="1:19">
      <c r="A90" s="46" t="str">
        <f ca="1">IFERROR(__xludf.DUMMYFUNCTION("""COMPUTED_VALUE"""),"APLICACIÓN DE MEDICAMENTOS")</f>
        <v>APLICACIÓN DE MEDICAMENTOS</v>
      </c>
      <c r="B90" s="46">
        <f ca="1">IFERROR(__xludf.DUMMYFUNCTION("""COMPUTED_VALUE"""),1)</f>
        <v>1</v>
      </c>
      <c r="C90" s="46"/>
      <c r="D90" s="46" t="str">
        <f ca="1">IFERROR(__xludf.DUMMYFUNCTION("""COMPUTED_VALUE"""),"ASCENDENTE")</f>
        <v>ASCENDENTE</v>
      </c>
      <c r="E90" s="46" t="str">
        <f ca="1">IFERROR(__xludf.DUMMYFUNCTION("""COMPUTED_VALUE"""),"BITACORA OPERATIVA")</f>
        <v>BITACORA OPERATIVA</v>
      </c>
      <c r="F90" s="47">
        <f ca="1">IFERROR(__xludf.DUMMYFUNCTION("""COMPUTED_VALUE"""),0)</f>
        <v>0</v>
      </c>
      <c r="G90" s="48">
        <f ca="1">IFERROR(__xludf.DUMMYFUNCTION("""COMPUTED_VALUE"""),0)</f>
        <v>0</v>
      </c>
      <c r="H90" s="48">
        <f ca="1">IFERROR(__xludf.DUMMYFUNCTION("""COMPUTED_VALUE"""),0)</f>
        <v>0</v>
      </c>
      <c r="I90" s="48">
        <f ca="1">IFERROR(__xludf.DUMMYFUNCTION("""COMPUTED_VALUE"""),0)</f>
        <v>0</v>
      </c>
      <c r="J90" s="48">
        <f ca="1">IFERROR(__xludf.DUMMYFUNCTION("""COMPUTED_VALUE"""),0)</f>
        <v>0</v>
      </c>
      <c r="K90" s="48">
        <f ca="1">IFERROR(__xludf.DUMMYFUNCTION("""COMPUTED_VALUE"""),0)</f>
        <v>0</v>
      </c>
      <c r="L90" s="48">
        <f ca="1">IFERROR(__xludf.DUMMYFUNCTION("""COMPUTED_VALUE"""),0)</f>
        <v>0</v>
      </c>
      <c r="M90" s="48">
        <f ca="1">IFERROR(__xludf.DUMMYFUNCTION("""COMPUTED_VALUE"""),0)</f>
        <v>0</v>
      </c>
      <c r="N90" s="48">
        <f ca="1">IFERROR(__xludf.DUMMYFUNCTION("""COMPUTED_VALUE"""),0)</f>
        <v>0</v>
      </c>
      <c r="O90" s="48">
        <f ca="1">IFERROR(__xludf.DUMMYFUNCTION("""COMPUTED_VALUE"""),0)</f>
        <v>0</v>
      </c>
      <c r="P90" s="48">
        <f ca="1">IFERROR(__xludf.DUMMYFUNCTION("""COMPUTED_VALUE"""),0)</f>
        <v>0</v>
      </c>
      <c r="Q90" s="48">
        <f ca="1">IFERROR(__xludf.DUMMYFUNCTION("""COMPUTED_VALUE"""),0)</f>
        <v>0</v>
      </c>
      <c r="R90" s="48">
        <f ca="1">IFERROR(__xludf.DUMMYFUNCTION("""COMPUTED_VALUE"""),0)</f>
        <v>0</v>
      </c>
      <c r="S90" s="48">
        <f ca="1">IFERROR(__xludf.DUMMYFUNCTION("""COMPUTED_VALUE"""),0)</f>
        <v>0</v>
      </c>
    </row>
    <row r="91" spans="1:19">
      <c r="A91" s="46" t="str">
        <f ca="1">IFERROR(__xludf.DUMMYFUNCTION("""COMPUTED_VALUE"""),"APLICACIÓN DE VENDAJE")</f>
        <v>APLICACIÓN DE VENDAJE</v>
      </c>
      <c r="B91" s="46">
        <f ca="1">IFERROR(__xludf.DUMMYFUNCTION("""COMPUTED_VALUE"""),1)</f>
        <v>1</v>
      </c>
      <c r="C91" s="46"/>
      <c r="D91" s="46" t="str">
        <f ca="1">IFERROR(__xludf.DUMMYFUNCTION("""COMPUTED_VALUE"""),"ASCENDENTE")</f>
        <v>ASCENDENTE</v>
      </c>
      <c r="E91" s="46" t="str">
        <f ca="1">IFERROR(__xludf.DUMMYFUNCTION("""COMPUTED_VALUE"""),"BITACORA OPERATIVA")</f>
        <v>BITACORA OPERATIVA</v>
      </c>
      <c r="F91" s="47">
        <f ca="1">IFERROR(__xludf.DUMMYFUNCTION("""COMPUTED_VALUE"""),0)</f>
        <v>0</v>
      </c>
      <c r="G91" s="48">
        <f ca="1">IFERROR(__xludf.DUMMYFUNCTION("""COMPUTED_VALUE"""),0)</f>
        <v>0</v>
      </c>
      <c r="H91" s="48">
        <f ca="1">IFERROR(__xludf.DUMMYFUNCTION("""COMPUTED_VALUE"""),0)</f>
        <v>0</v>
      </c>
      <c r="I91" s="48">
        <f ca="1">IFERROR(__xludf.DUMMYFUNCTION("""COMPUTED_VALUE"""),0)</f>
        <v>0</v>
      </c>
      <c r="J91" s="48">
        <f ca="1">IFERROR(__xludf.DUMMYFUNCTION("""COMPUTED_VALUE"""),0)</f>
        <v>0</v>
      </c>
      <c r="K91" s="48">
        <f ca="1">IFERROR(__xludf.DUMMYFUNCTION("""COMPUTED_VALUE"""),0)</f>
        <v>0</v>
      </c>
      <c r="L91" s="48">
        <f ca="1">IFERROR(__xludf.DUMMYFUNCTION("""COMPUTED_VALUE"""),0)</f>
        <v>0</v>
      </c>
      <c r="M91" s="48">
        <f ca="1">IFERROR(__xludf.DUMMYFUNCTION("""COMPUTED_VALUE"""),0)</f>
        <v>0</v>
      </c>
      <c r="N91" s="48">
        <f ca="1">IFERROR(__xludf.DUMMYFUNCTION("""COMPUTED_VALUE"""),0)</f>
        <v>0</v>
      </c>
      <c r="O91" s="48">
        <f ca="1">IFERROR(__xludf.DUMMYFUNCTION("""COMPUTED_VALUE"""),0)</f>
        <v>0</v>
      </c>
      <c r="P91" s="48">
        <f ca="1">IFERROR(__xludf.DUMMYFUNCTION("""COMPUTED_VALUE"""),0)</f>
        <v>0</v>
      </c>
      <c r="Q91" s="48">
        <f ca="1">IFERROR(__xludf.DUMMYFUNCTION("""COMPUTED_VALUE"""),0)</f>
        <v>0</v>
      </c>
      <c r="R91" s="48">
        <f ca="1">IFERROR(__xludf.DUMMYFUNCTION("""COMPUTED_VALUE"""),0)</f>
        <v>0</v>
      </c>
      <c r="S91" s="48">
        <f ca="1">IFERROR(__xludf.DUMMYFUNCTION("""COMPUTED_VALUE"""),0)</f>
        <v>0</v>
      </c>
    </row>
    <row r="92" spans="1:19">
      <c r="A92" s="46" t="str">
        <f ca="1">IFERROR(__xludf.DUMMYFUNCTION("""COMPUTED_VALUE"""),"APLICACIÓN DE YESO")</f>
        <v>APLICACIÓN DE YESO</v>
      </c>
      <c r="B92" s="46">
        <f ca="1">IFERROR(__xludf.DUMMYFUNCTION("""COMPUTED_VALUE"""),1)</f>
        <v>1</v>
      </c>
      <c r="C92" s="46"/>
      <c r="D92" s="46" t="str">
        <f ca="1">IFERROR(__xludf.DUMMYFUNCTION("""COMPUTED_VALUE"""),"ASCENDENTE")</f>
        <v>ASCENDENTE</v>
      </c>
      <c r="E92" s="46" t="str">
        <f ca="1">IFERROR(__xludf.DUMMYFUNCTION("""COMPUTED_VALUE"""),"BITACORA OPERATIVA")</f>
        <v>BITACORA OPERATIVA</v>
      </c>
      <c r="F92" s="47">
        <f ca="1">IFERROR(__xludf.DUMMYFUNCTION("""COMPUTED_VALUE"""),0)</f>
        <v>0</v>
      </c>
      <c r="G92" s="48">
        <f ca="1">IFERROR(__xludf.DUMMYFUNCTION("""COMPUTED_VALUE"""),0)</f>
        <v>0</v>
      </c>
      <c r="H92" s="48">
        <f ca="1">IFERROR(__xludf.DUMMYFUNCTION("""COMPUTED_VALUE"""),0)</f>
        <v>0</v>
      </c>
      <c r="I92" s="48">
        <f ca="1">IFERROR(__xludf.DUMMYFUNCTION("""COMPUTED_VALUE"""),0)</f>
        <v>0</v>
      </c>
      <c r="J92" s="48">
        <f ca="1">IFERROR(__xludf.DUMMYFUNCTION("""COMPUTED_VALUE"""),0)</f>
        <v>0</v>
      </c>
      <c r="K92" s="48">
        <f ca="1">IFERROR(__xludf.DUMMYFUNCTION("""COMPUTED_VALUE"""),0)</f>
        <v>0</v>
      </c>
      <c r="L92" s="48">
        <f ca="1">IFERROR(__xludf.DUMMYFUNCTION("""COMPUTED_VALUE"""),0)</f>
        <v>0</v>
      </c>
      <c r="M92" s="48">
        <f ca="1">IFERROR(__xludf.DUMMYFUNCTION("""COMPUTED_VALUE"""),0)</f>
        <v>0</v>
      </c>
      <c r="N92" s="48">
        <f ca="1">IFERROR(__xludf.DUMMYFUNCTION("""COMPUTED_VALUE"""),0)</f>
        <v>0</v>
      </c>
      <c r="O92" s="48">
        <f ca="1">IFERROR(__xludf.DUMMYFUNCTION("""COMPUTED_VALUE"""),0)</f>
        <v>0</v>
      </c>
      <c r="P92" s="48">
        <f ca="1">IFERROR(__xludf.DUMMYFUNCTION("""COMPUTED_VALUE"""),0)</f>
        <v>0</v>
      </c>
      <c r="Q92" s="48">
        <f ca="1">IFERROR(__xludf.DUMMYFUNCTION("""COMPUTED_VALUE"""),0)</f>
        <v>0</v>
      </c>
      <c r="R92" s="48">
        <f ca="1">IFERROR(__xludf.DUMMYFUNCTION("""COMPUTED_VALUE"""),0)</f>
        <v>0</v>
      </c>
      <c r="S92" s="48">
        <f ca="1">IFERROR(__xludf.DUMMYFUNCTION("""COMPUTED_VALUE"""),0)</f>
        <v>0</v>
      </c>
    </row>
    <row r="93" spans="1:19">
      <c r="A93" s="46" t="str">
        <f ca="1">IFERROR(__xludf.DUMMYFUNCTION("""COMPUTED_VALUE"""),"TERAPIA DE REHIDRATACIÓN")</f>
        <v>TERAPIA DE REHIDRATACIÓN</v>
      </c>
      <c r="B93" s="46">
        <f ca="1">IFERROR(__xludf.DUMMYFUNCTION("""COMPUTED_VALUE"""),1)</f>
        <v>1</v>
      </c>
      <c r="C93" s="46"/>
      <c r="D93" s="46" t="str">
        <f ca="1">IFERROR(__xludf.DUMMYFUNCTION("""COMPUTED_VALUE"""),"ASCENDENTE")</f>
        <v>ASCENDENTE</v>
      </c>
      <c r="E93" s="46" t="str">
        <f ca="1">IFERROR(__xludf.DUMMYFUNCTION("""COMPUTED_VALUE"""),"BITACORA OPERATIVA")</f>
        <v>BITACORA OPERATIVA</v>
      </c>
      <c r="F93" s="47">
        <f ca="1">IFERROR(__xludf.DUMMYFUNCTION("""COMPUTED_VALUE"""),0)</f>
        <v>0</v>
      </c>
      <c r="G93" s="48">
        <f ca="1">IFERROR(__xludf.DUMMYFUNCTION("""COMPUTED_VALUE"""),0)</f>
        <v>0</v>
      </c>
      <c r="H93" s="48">
        <f ca="1">IFERROR(__xludf.DUMMYFUNCTION("""COMPUTED_VALUE"""),0)</f>
        <v>0</v>
      </c>
      <c r="I93" s="48">
        <f ca="1">IFERROR(__xludf.DUMMYFUNCTION("""COMPUTED_VALUE"""),0)</f>
        <v>0</v>
      </c>
      <c r="J93" s="48">
        <f ca="1">IFERROR(__xludf.DUMMYFUNCTION("""COMPUTED_VALUE"""),0)</f>
        <v>0</v>
      </c>
      <c r="K93" s="48">
        <f ca="1">IFERROR(__xludf.DUMMYFUNCTION("""COMPUTED_VALUE"""),0)</f>
        <v>0</v>
      </c>
      <c r="L93" s="48">
        <f ca="1">IFERROR(__xludf.DUMMYFUNCTION("""COMPUTED_VALUE"""),0)</f>
        <v>0</v>
      </c>
      <c r="M93" s="48">
        <f ca="1">IFERROR(__xludf.DUMMYFUNCTION("""COMPUTED_VALUE"""),0)</f>
        <v>0</v>
      </c>
      <c r="N93" s="48">
        <f ca="1">IFERROR(__xludf.DUMMYFUNCTION("""COMPUTED_VALUE"""),0)</f>
        <v>0</v>
      </c>
      <c r="O93" s="48">
        <f ca="1">IFERROR(__xludf.DUMMYFUNCTION("""COMPUTED_VALUE"""),0)</f>
        <v>0</v>
      </c>
      <c r="P93" s="48">
        <f ca="1">IFERROR(__xludf.DUMMYFUNCTION("""COMPUTED_VALUE"""),0)</f>
        <v>0</v>
      </c>
      <c r="Q93" s="48">
        <f ca="1">IFERROR(__xludf.DUMMYFUNCTION("""COMPUTED_VALUE"""),0)</f>
        <v>0</v>
      </c>
      <c r="R93" s="48">
        <f ca="1">IFERROR(__xludf.DUMMYFUNCTION("""COMPUTED_VALUE"""),0)</f>
        <v>0</v>
      </c>
      <c r="S93" s="48">
        <f ca="1">IFERROR(__xludf.DUMMYFUNCTION("""COMPUTED_VALUE"""),0)</f>
        <v>0</v>
      </c>
    </row>
    <row r="94" spans="1:19">
      <c r="A94" s="46" t="str">
        <f ca="1">IFERROR(__xludf.DUMMYFUNCTION("""COMPUTED_VALUE"""),"ATENCIONES POR INHALOTERAPIA")</f>
        <v>ATENCIONES POR INHALOTERAPIA</v>
      </c>
      <c r="B94" s="46">
        <f ca="1">IFERROR(__xludf.DUMMYFUNCTION("""COMPUTED_VALUE"""),1)</f>
        <v>1</v>
      </c>
      <c r="C94" s="46"/>
      <c r="D94" s="46" t="str">
        <f ca="1">IFERROR(__xludf.DUMMYFUNCTION("""COMPUTED_VALUE"""),"ASCENDENTE")</f>
        <v>ASCENDENTE</v>
      </c>
      <c r="E94" s="46" t="str">
        <f ca="1">IFERROR(__xludf.DUMMYFUNCTION("""COMPUTED_VALUE"""),"BITACORA OPERATIVA")</f>
        <v>BITACORA OPERATIVA</v>
      </c>
      <c r="F94" s="47">
        <f ca="1">IFERROR(__xludf.DUMMYFUNCTION("""COMPUTED_VALUE"""),0)</f>
        <v>0</v>
      </c>
      <c r="G94" s="48">
        <f ca="1">IFERROR(__xludf.DUMMYFUNCTION("""COMPUTED_VALUE"""),0)</f>
        <v>0</v>
      </c>
      <c r="H94" s="48">
        <f ca="1">IFERROR(__xludf.DUMMYFUNCTION("""COMPUTED_VALUE"""),0)</f>
        <v>0</v>
      </c>
      <c r="I94" s="48">
        <f ca="1">IFERROR(__xludf.DUMMYFUNCTION("""COMPUTED_VALUE"""),0)</f>
        <v>0</v>
      </c>
      <c r="J94" s="48">
        <f ca="1">IFERROR(__xludf.DUMMYFUNCTION("""COMPUTED_VALUE"""),0)</f>
        <v>0</v>
      </c>
      <c r="K94" s="48">
        <f ca="1">IFERROR(__xludf.DUMMYFUNCTION("""COMPUTED_VALUE"""),0)</f>
        <v>0</v>
      </c>
      <c r="L94" s="48">
        <f ca="1">IFERROR(__xludf.DUMMYFUNCTION("""COMPUTED_VALUE"""),0)</f>
        <v>0</v>
      </c>
      <c r="M94" s="48">
        <f ca="1">IFERROR(__xludf.DUMMYFUNCTION("""COMPUTED_VALUE"""),0)</f>
        <v>0</v>
      </c>
      <c r="N94" s="48">
        <f ca="1">IFERROR(__xludf.DUMMYFUNCTION("""COMPUTED_VALUE"""),0)</f>
        <v>0</v>
      </c>
      <c r="O94" s="48">
        <f ca="1">IFERROR(__xludf.DUMMYFUNCTION("""COMPUTED_VALUE"""),0)</f>
        <v>0</v>
      </c>
      <c r="P94" s="48">
        <f ca="1">IFERROR(__xludf.DUMMYFUNCTION("""COMPUTED_VALUE"""),0)</f>
        <v>0</v>
      </c>
      <c r="Q94" s="48">
        <f ca="1">IFERROR(__xludf.DUMMYFUNCTION("""COMPUTED_VALUE"""),0)</f>
        <v>0</v>
      </c>
      <c r="R94" s="48">
        <f ca="1">IFERROR(__xludf.DUMMYFUNCTION("""COMPUTED_VALUE"""),0)</f>
        <v>0</v>
      </c>
      <c r="S94" s="48">
        <f ca="1">IFERROR(__xludf.DUMMYFUNCTION("""COMPUTED_VALUE"""),0)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IFERROR(__xludf.DUMMYFUNCTION("IMPORTRANGE(""https://docs.google.com/spreadsheets/d/1V-ExCWGsb_m1Fu27gkXwQ74tTknSfCDgrkmUzYZOmAg/edit?gid=2067828742#gid=2067828742"",""01!A1:S"")"),"INDICADORES")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IFERROR(__xludf.DUMMYFUNCTION("""COMPUTED_VALUE"""),"EVENTOS QUE PROMUEVAN EL DESARROLLO ECONOMICO O RURAL DEL MUNICIPIO")</f>
        <v>EVENTOS QUE PROMUEVAN EL DESARROLLO ECONOMICO O RURAL DEL MUNICIPIO</v>
      </c>
      <c r="B2" s="46">
        <f ca="1">IFERROR(__xludf.DUMMYFUNCTION("""COMPUTED_VALUE"""),8)</f>
        <v>8</v>
      </c>
      <c r="C2" s="46" t="str">
        <f ca="1">IFERROR(__xludf.DUMMYFUNCTION("""COMPUTED_VALUE"""),"EVENTOS")</f>
        <v>EVENTOS</v>
      </c>
      <c r="D2" s="46" t="str">
        <f ca="1">IFERROR(__xludf.DUMMYFUNCTION("""COMPUTED_VALUE"""),"ASCENDENTE")</f>
        <v>ASCENDENTE</v>
      </c>
      <c r="E2" s="46" t="str">
        <f ca="1">IFERROR(__xludf.DUMMYFUNCTION("""COMPUTED_VALUE"""),"BITACORA OPERATIVA")</f>
        <v>BITACORA OPERATIVA</v>
      </c>
      <c r="F2" s="47">
        <f ca="1">IFERROR(__xludf.DUMMYFUNCTION("""COMPUTED_VALUE"""),2237.5)</f>
        <v>2237.5</v>
      </c>
      <c r="G2" s="46">
        <f ca="1">IFERROR(__xludf.DUMMYFUNCTION("""COMPUTED_VALUE"""),0)</f>
        <v>0</v>
      </c>
      <c r="H2" s="46">
        <f ca="1">IFERROR(__xludf.DUMMYFUNCTION("""COMPUTED_VALUE"""),2)</f>
        <v>2</v>
      </c>
      <c r="I2" s="46">
        <f ca="1">IFERROR(__xludf.DUMMYFUNCTION("""COMPUTED_VALUE"""),1)</f>
        <v>1</v>
      </c>
      <c r="J2" s="46">
        <f ca="1">IFERROR(__xludf.DUMMYFUNCTION("""COMPUTED_VALUE"""),68)</f>
        <v>68</v>
      </c>
      <c r="K2" s="46">
        <f ca="1">IFERROR(__xludf.DUMMYFUNCTION("""COMPUTED_VALUE"""),70)</f>
        <v>70</v>
      </c>
      <c r="L2" s="46">
        <f ca="1">IFERROR(__xludf.DUMMYFUNCTION("""COMPUTED_VALUE"""),33)</f>
        <v>33</v>
      </c>
      <c r="M2" s="46">
        <f ca="1">IFERROR(__xludf.DUMMYFUNCTION("""COMPUTED_VALUE"""),0)</f>
        <v>0</v>
      </c>
      <c r="N2" s="46">
        <f ca="1">IFERROR(__xludf.DUMMYFUNCTION("""COMPUTED_VALUE"""),2)</f>
        <v>2</v>
      </c>
      <c r="O2" s="46">
        <f ca="1">IFERROR(__xludf.DUMMYFUNCTION("""COMPUTED_VALUE"""),1)</f>
        <v>1</v>
      </c>
      <c r="P2" s="46">
        <f ca="1">IFERROR(__xludf.DUMMYFUNCTION("""COMPUTED_VALUE"""),0)</f>
        <v>0</v>
      </c>
      <c r="Q2" s="46">
        <f ca="1">IFERROR(__xludf.DUMMYFUNCTION("""COMPUTED_VALUE"""),2)</f>
        <v>2</v>
      </c>
      <c r="R2" s="46">
        <f ca="1">IFERROR(__xludf.DUMMYFUNCTION("""COMPUTED_VALUE"""),0)</f>
        <v>0</v>
      </c>
      <c r="S2" s="46">
        <f ca="1">IFERROR(__xludf.DUMMYFUNCTION("""COMPUTED_VALUE"""),179)</f>
        <v>179</v>
      </c>
    </row>
    <row r="3" spans="1:19">
      <c r="A3" s="46" t="str">
        <f ca="1">IFERROR(__xludf.DUMMYFUNCTION("""COMPUTED_VALUE"""),"ASISTENTES TOTALES AL EVENTO")</f>
        <v>ASISTENTES TOTALES AL EVENTO</v>
      </c>
      <c r="B3" s="46">
        <f ca="1">IFERROR(__xludf.DUMMYFUNCTION("""COMPUTED_VALUE"""),8010)</f>
        <v>8010</v>
      </c>
      <c r="C3" s="46" t="str">
        <f ca="1">IFERROR(__xludf.DUMMYFUNCTION("""COMPUTED_VALUE"""),"ASISTENTES")</f>
        <v>ASISTENTES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OPERATIVA")</f>
        <v>BITACORA OPERATIVA</v>
      </c>
      <c r="F3" s="47">
        <f ca="1">IFERROR(__xludf.DUMMYFUNCTION("""COMPUTED_VALUE"""),93.8951310861423)</f>
        <v>93.8951310861423</v>
      </c>
      <c r="G3" s="46">
        <f ca="1">IFERROR(__xludf.DUMMYFUNCTION("""COMPUTED_VALUE"""),0)</f>
        <v>0</v>
      </c>
      <c r="H3" s="46">
        <f ca="1">IFERROR(__xludf.DUMMYFUNCTION("""COMPUTED_VALUE"""),1000)</f>
        <v>1000</v>
      </c>
      <c r="I3" s="46">
        <f ca="1">IFERROR(__xludf.DUMMYFUNCTION("""COMPUTED_VALUE"""),3000)</f>
        <v>3000</v>
      </c>
      <c r="J3" s="46">
        <f ca="1">IFERROR(__xludf.DUMMYFUNCTION("""COMPUTED_VALUE"""),0)</f>
        <v>0</v>
      </c>
      <c r="K3" s="46">
        <f ca="1">IFERROR(__xludf.DUMMYFUNCTION("""COMPUTED_VALUE"""),0)</f>
        <v>0</v>
      </c>
      <c r="L3" s="46">
        <f ca="1">IFERROR(__xludf.DUMMYFUNCTION("""COMPUTED_VALUE"""),0)</f>
        <v>0</v>
      </c>
      <c r="M3" s="46">
        <f ca="1">IFERROR(__xludf.DUMMYFUNCTION("""COMPUTED_VALUE"""),0)</f>
        <v>0</v>
      </c>
      <c r="N3" s="46">
        <f ca="1">IFERROR(__xludf.DUMMYFUNCTION("""COMPUTED_VALUE"""),3500)</f>
        <v>3500</v>
      </c>
      <c r="O3" s="46">
        <f ca="1">IFERROR(__xludf.DUMMYFUNCTION("""COMPUTED_VALUE"""),21)</f>
        <v>21</v>
      </c>
      <c r="P3" s="46">
        <f ca="1">IFERROR(__xludf.DUMMYFUNCTION("""COMPUTED_VALUE"""),0)</f>
        <v>0</v>
      </c>
      <c r="Q3" s="46">
        <f ca="1">IFERROR(__xludf.DUMMYFUNCTION("""COMPUTED_VALUE"""),0)</f>
        <v>0</v>
      </c>
      <c r="R3" s="46">
        <f ca="1">IFERROR(__xludf.DUMMYFUNCTION("""COMPUTED_VALUE"""),0)</f>
        <v>0</v>
      </c>
      <c r="S3" s="46">
        <f ca="1">IFERROR(__xludf.DUMMYFUNCTION("""COMPUTED_VALUE"""),7521)</f>
        <v>7521</v>
      </c>
    </row>
    <row r="4" spans="1:19">
      <c r="A4" s="46" t="str">
        <f ca="1">IFERROR(__xludf.DUMMYFUNCTION("""COMPUTED_VALUE"""),"EMPRESAS BENEFICIADAS CON LOS EVENTOS")</f>
        <v>EMPRESAS BENEFICIADAS CON LOS EVENTOS</v>
      </c>
      <c r="B4" s="46">
        <f ca="1">IFERROR(__xludf.DUMMYFUNCTION("""COMPUTED_VALUE"""),100)</f>
        <v>100</v>
      </c>
      <c r="C4" s="46" t="str">
        <f ca="1">IFERROR(__xludf.DUMMYFUNCTION("""COMPUTED_VALUE"""),"EMPRESAS BENEFICIADAS")</f>
        <v>EMPRESAS BENEFICIADAS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OPERATIVA")</f>
        <v>BITACORA OPERATIVA</v>
      </c>
      <c r="F4" s="47">
        <f ca="1">IFERROR(__xludf.DUMMYFUNCTION("""COMPUTED_VALUE"""),87)</f>
        <v>87</v>
      </c>
      <c r="G4" s="46">
        <f ca="1">IFERROR(__xludf.DUMMYFUNCTION("""COMPUTED_VALUE"""),0)</f>
        <v>0</v>
      </c>
      <c r="H4" s="46">
        <f ca="1">IFERROR(__xludf.DUMMYFUNCTION("""COMPUTED_VALUE"""),35)</f>
        <v>35</v>
      </c>
      <c r="I4" s="46">
        <f ca="1">IFERROR(__xludf.DUMMYFUNCTION("""COMPUTED_VALUE"""),0)</f>
        <v>0</v>
      </c>
      <c r="J4" s="46">
        <f ca="1">IFERROR(__xludf.DUMMYFUNCTION("""COMPUTED_VALUE"""),5)</f>
        <v>5</v>
      </c>
      <c r="K4" s="46">
        <f ca="1">IFERROR(__xludf.DUMMYFUNCTION("""COMPUTED_VALUE"""),2)</f>
        <v>2</v>
      </c>
      <c r="L4" s="46">
        <f ca="1">IFERROR(__xludf.DUMMYFUNCTION("""COMPUTED_VALUE"""),0)</f>
        <v>0</v>
      </c>
      <c r="M4" s="46">
        <f ca="1">IFERROR(__xludf.DUMMYFUNCTION("""COMPUTED_VALUE"""),0)</f>
        <v>0</v>
      </c>
      <c r="N4" s="46">
        <f ca="1">IFERROR(__xludf.DUMMYFUNCTION("""COMPUTED_VALUE"""),24)</f>
        <v>24</v>
      </c>
      <c r="O4" s="46">
        <f ca="1">IFERROR(__xludf.DUMMYFUNCTION("""COMPUTED_VALUE"""),21)</f>
        <v>21</v>
      </c>
      <c r="P4" s="46">
        <f ca="1">IFERROR(__xludf.DUMMYFUNCTION("""COMPUTED_VALUE"""),0)</f>
        <v>0</v>
      </c>
      <c r="Q4" s="46">
        <f ca="1">IFERROR(__xludf.DUMMYFUNCTION("""COMPUTED_VALUE"""),0)</f>
        <v>0</v>
      </c>
      <c r="R4" s="46">
        <f ca="1">IFERROR(__xludf.DUMMYFUNCTION("""COMPUTED_VALUE"""),0)</f>
        <v>0</v>
      </c>
      <c r="S4" s="46">
        <f ca="1">IFERROR(__xludf.DUMMYFUNCTION("""COMPUTED_VALUE"""),87)</f>
        <v>87</v>
      </c>
    </row>
    <row r="5" spans="1:19">
      <c r="A5" s="46" t="str">
        <f ca="1">IFERROR(__xludf.DUMMYFUNCTION("""COMPUTED_VALUE"""),"CAPACITACIONES / TALLERES DE DESARROLLO ECONOMICO")</f>
        <v>CAPACITACIONES / TALLERES DE DESARROLLO ECONOMICO</v>
      </c>
      <c r="B5" s="46">
        <f ca="1">IFERROR(__xludf.DUMMYFUNCTION("""COMPUTED_VALUE"""),155)</f>
        <v>155</v>
      </c>
      <c r="C5" s="46" t="str">
        <f ca="1">IFERROR(__xludf.DUMMYFUNCTION("""COMPUTED_VALUE"""),"CAPACITACIONES")</f>
        <v>CAPACITACIONES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IFERROR(__xludf.DUMMYFUNCTION("""COMPUTED_VALUE"""),196.774193548387)</f>
        <v>196.77419354838699</v>
      </c>
      <c r="G5" s="46">
        <f ca="1">IFERROR(__xludf.DUMMYFUNCTION("""COMPUTED_VALUE"""),0)</f>
        <v>0</v>
      </c>
      <c r="H5" s="46">
        <f ca="1">IFERROR(__xludf.DUMMYFUNCTION("""COMPUTED_VALUE"""),0)</f>
        <v>0</v>
      </c>
      <c r="I5" s="46">
        <f ca="1">IFERROR(__xludf.DUMMYFUNCTION("""COMPUTED_VALUE"""),0)</f>
        <v>0</v>
      </c>
      <c r="J5" s="46">
        <f ca="1">IFERROR(__xludf.DUMMYFUNCTION("""COMPUTED_VALUE"""),21)</f>
        <v>21</v>
      </c>
      <c r="K5" s="46">
        <f ca="1">IFERROR(__xludf.DUMMYFUNCTION("""COMPUTED_VALUE"""),24)</f>
        <v>24</v>
      </c>
      <c r="L5" s="46">
        <f ca="1">IFERROR(__xludf.DUMMYFUNCTION("""COMPUTED_VALUE"""),8)</f>
        <v>8</v>
      </c>
      <c r="M5" s="46">
        <f ca="1">IFERROR(__xludf.DUMMYFUNCTION("""COMPUTED_VALUE"""),0)</f>
        <v>0</v>
      </c>
      <c r="N5" s="46">
        <f ca="1">IFERROR(__xludf.DUMMYFUNCTION("""COMPUTED_VALUE"""),2)</f>
        <v>2</v>
      </c>
      <c r="O5" s="46">
        <f ca="1">IFERROR(__xludf.DUMMYFUNCTION("""COMPUTED_VALUE"""),1)</f>
        <v>1</v>
      </c>
      <c r="P5" s="46">
        <f ca="1">IFERROR(__xludf.DUMMYFUNCTION("""COMPUTED_VALUE"""),94)</f>
        <v>94</v>
      </c>
      <c r="Q5" s="46">
        <f ca="1">IFERROR(__xludf.DUMMYFUNCTION("""COMPUTED_VALUE"""),75)</f>
        <v>75</v>
      </c>
      <c r="R5" s="46">
        <f ca="1">IFERROR(__xludf.DUMMYFUNCTION("""COMPUTED_VALUE"""),80)</f>
        <v>80</v>
      </c>
      <c r="S5" s="46">
        <f ca="1">IFERROR(__xludf.DUMMYFUNCTION("""COMPUTED_VALUE"""),305)</f>
        <v>305</v>
      </c>
    </row>
    <row r="6" spans="1:19">
      <c r="A6" s="46" t="str">
        <f ca="1">IFERROR(__xludf.DUMMYFUNCTION("""COMPUTED_VALUE"""),"ASISTENTES TOTALES A LAS CAPACITACIONES")</f>
        <v>ASISTENTES TOTALES A LAS CAPACITACIONES</v>
      </c>
      <c r="B6" s="46">
        <f ca="1">IFERROR(__xludf.DUMMYFUNCTION("""COMPUTED_VALUE"""),480)</f>
        <v>480</v>
      </c>
      <c r="C6" s="46" t="str">
        <f ca="1">IFERROR(__xludf.DUMMYFUNCTION("""COMPUTED_VALUE"""),"ASISTENTES")</f>
        <v>ASISTENTES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IFERROR(__xludf.DUMMYFUNCTION("""COMPUTED_VALUE"""),125.625)</f>
        <v>125.625</v>
      </c>
      <c r="G6" s="46">
        <f ca="1">IFERROR(__xludf.DUMMYFUNCTION("""COMPUTED_VALUE"""),0)</f>
        <v>0</v>
      </c>
      <c r="H6" s="46">
        <f ca="1">IFERROR(__xludf.DUMMYFUNCTION("""COMPUTED_VALUE"""),2)</f>
        <v>2</v>
      </c>
      <c r="I6" s="46">
        <f ca="1">IFERROR(__xludf.DUMMYFUNCTION("""COMPUTED_VALUE"""),3)</f>
        <v>3</v>
      </c>
      <c r="J6" s="46">
        <f ca="1">IFERROR(__xludf.DUMMYFUNCTION("""COMPUTED_VALUE"""),0)</f>
        <v>0</v>
      </c>
      <c r="K6" s="46">
        <f ca="1">IFERROR(__xludf.DUMMYFUNCTION("""COMPUTED_VALUE"""),65)</f>
        <v>65</v>
      </c>
      <c r="L6" s="46">
        <f ca="1">IFERROR(__xludf.DUMMYFUNCTION("""COMPUTED_VALUE"""),54)</f>
        <v>54</v>
      </c>
      <c r="M6" s="46">
        <f ca="1">IFERROR(__xludf.DUMMYFUNCTION("""COMPUTED_VALUE"""),0)</f>
        <v>0</v>
      </c>
      <c r="N6" s="46">
        <f ca="1">IFERROR(__xludf.DUMMYFUNCTION("""COMPUTED_VALUE"""),300)</f>
        <v>300</v>
      </c>
      <c r="O6" s="46">
        <f ca="1">IFERROR(__xludf.DUMMYFUNCTION("""COMPUTED_VALUE"""),74)</f>
        <v>74</v>
      </c>
      <c r="P6" s="46">
        <f ca="1">IFERROR(__xludf.DUMMYFUNCTION("""COMPUTED_VALUE"""),0)</f>
        <v>0</v>
      </c>
      <c r="Q6" s="46">
        <f ca="1">IFERROR(__xludf.DUMMYFUNCTION("""COMPUTED_VALUE"""),105)</f>
        <v>105</v>
      </c>
      <c r="R6" s="46">
        <f ca="1">IFERROR(__xludf.DUMMYFUNCTION("""COMPUTED_VALUE"""),0)</f>
        <v>0</v>
      </c>
      <c r="S6" s="46">
        <f ca="1">IFERROR(__xludf.DUMMYFUNCTION("""COMPUTED_VALUE"""),603)</f>
        <v>603</v>
      </c>
    </row>
    <row r="7" spans="1:19">
      <c r="A7" s="46" t="str">
        <f ca="1">IFERROR(__xludf.DUMMYFUNCTION("""COMPUTED_VALUE"""),"PROYECTOS PARA PROMOVER EL DESARROLLO ECONOMICO")</f>
        <v>PROYECTOS PARA PROMOVER EL DESARROLLO ECONOMICO</v>
      </c>
      <c r="B7" s="46">
        <f ca="1">IFERROR(__xludf.DUMMYFUNCTION("""COMPUTED_VALUE"""),290)</f>
        <v>290</v>
      </c>
      <c r="C7" s="46" t="str">
        <f ca="1">IFERROR(__xludf.DUMMYFUNCTION("""COMPUTED_VALUE"""),"PROYECTOS EJECUTADOS")</f>
        <v>PROYECTOS EJECUTADOS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IFERROR(__xludf.DUMMYFUNCTION("""COMPUTED_VALUE"""),100)</f>
        <v>100</v>
      </c>
      <c r="G7" s="46">
        <f ca="1">IFERROR(__xludf.DUMMYFUNCTION("""COMPUTED_VALUE"""),85)</f>
        <v>85</v>
      </c>
      <c r="H7" s="46">
        <f ca="1">IFERROR(__xludf.DUMMYFUNCTION("""COMPUTED_VALUE"""),92)</f>
        <v>92</v>
      </c>
      <c r="I7" s="46">
        <f ca="1">IFERROR(__xludf.DUMMYFUNCTION("""COMPUTED_VALUE"""),95)</f>
        <v>95</v>
      </c>
      <c r="J7" s="46">
        <f ca="1">IFERROR(__xludf.DUMMYFUNCTION("""COMPUTED_VALUE"""),1)</f>
        <v>1</v>
      </c>
      <c r="K7" s="46">
        <f ca="1">IFERROR(__xludf.DUMMYFUNCTION("""COMPUTED_VALUE"""),1)</f>
        <v>1</v>
      </c>
      <c r="L7" s="46">
        <f ca="1">IFERROR(__xludf.DUMMYFUNCTION("""COMPUTED_VALUE"""),6)</f>
        <v>6</v>
      </c>
      <c r="M7" s="46">
        <f ca="1">IFERROR(__xludf.DUMMYFUNCTION("""COMPUTED_VALUE"""),0)</f>
        <v>0</v>
      </c>
      <c r="N7" s="46">
        <f ca="1">IFERROR(__xludf.DUMMYFUNCTION("""COMPUTED_VALUE"""),2)</f>
        <v>2</v>
      </c>
      <c r="O7" s="46">
        <f ca="1">IFERROR(__xludf.DUMMYFUNCTION("""COMPUTED_VALUE"""),1)</f>
        <v>1</v>
      </c>
      <c r="P7" s="46">
        <f ca="1">IFERROR(__xludf.DUMMYFUNCTION("""COMPUTED_VALUE"""),0)</f>
        <v>0</v>
      </c>
      <c r="Q7" s="46">
        <f ca="1">IFERROR(__xludf.DUMMYFUNCTION("""COMPUTED_VALUE"""),3)</f>
        <v>3</v>
      </c>
      <c r="R7" s="46">
        <f ca="1">IFERROR(__xludf.DUMMYFUNCTION("""COMPUTED_VALUE"""),4)</f>
        <v>4</v>
      </c>
      <c r="S7" s="46">
        <f ca="1">IFERROR(__xludf.DUMMYFUNCTION("""COMPUTED_VALUE"""),290)</f>
        <v>290</v>
      </c>
    </row>
    <row r="8" spans="1:19">
      <c r="A8" s="46" t="str">
        <f ca="1">IFERROR(__xludf.DUMMYFUNCTION("""COMPUTED_VALUE"""),"SERVICIOS Y/O PROCEDIMIENTOS")</f>
        <v>SERVICIOS Y/O PROCEDIMIENTOS</v>
      </c>
      <c r="B8" s="46">
        <f ca="1">IFERROR(__xludf.DUMMYFUNCTION("""COMPUTED_VALUE"""),1340)</f>
        <v>1340</v>
      </c>
      <c r="C8" s="46" t="str">
        <f ca="1">IFERROR(__xludf.DUMMYFUNCTION("""COMPUTED_VALUE"""),"PROCEDIMIENTOS")</f>
        <v>PROCEDIMIENTOS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IFERROR(__xludf.DUMMYFUNCTION("""COMPUTED_VALUE"""),198.358208955223)</f>
        <v>198.35820895522301</v>
      </c>
      <c r="G8" s="46">
        <f ca="1">IFERROR(__xludf.DUMMYFUNCTION("""COMPUTED_VALUE"""),91)</f>
        <v>91</v>
      </c>
      <c r="H8" s="46">
        <f ca="1">IFERROR(__xludf.DUMMYFUNCTION("""COMPUTED_VALUE"""),76)</f>
        <v>76</v>
      </c>
      <c r="I8" s="46">
        <f ca="1">IFERROR(__xludf.DUMMYFUNCTION("""COMPUTED_VALUE"""),52)</f>
        <v>52</v>
      </c>
      <c r="J8" s="46">
        <f ca="1">IFERROR(__xludf.DUMMYFUNCTION("""COMPUTED_VALUE"""),2)</f>
        <v>2</v>
      </c>
      <c r="K8" s="46">
        <f ca="1">IFERROR(__xludf.DUMMYFUNCTION("""COMPUTED_VALUE"""),493)</f>
        <v>493</v>
      </c>
      <c r="L8" s="46">
        <f ca="1">IFERROR(__xludf.DUMMYFUNCTION("""COMPUTED_VALUE"""),146)</f>
        <v>146</v>
      </c>
      <c r="M8" s="46">
        <f ca="1">IFERROR(__xludf.DUMMYFUNCTION("""COMPUTED_VALUE"""),0)</f>
        <v>0</v>
      </c>
      <c r="N8" s="46">
        <f ca="1">IFERROR(__xludf.DUMMYFUNCTION("""COMPUTED_VALUE"""),110)</f>
        <v>110</v>
      </c>
      <c r="O8" s="46">
        <f ca="1">IFERROR(__xludf.DUMMYFUNCTION("""COMPUTED_VALUE"""),364)</f>
        <v>364</v>
      </c>
      <c r="P8" s="46">
        <f ca="1">IFERROR(__xludf.DUMMYFUNCTION("""COMPUTED_VALUE"""),454)</f>
        <v>454</v>
      </c>
      <c r="Q8" s="46">
        <f ca="1">IFERROR(__xludf.DUMMYFUNCTION("""COMPUTED_VALUE"""),441)</f>
        <v>441</v>
      </c>
      <c r="R8" s="46">
        <f ca="1">IFERROR(__xludf.DUMMYFUNCTION("""COMPUTED_VALUE"""),429)</f>
        <v>429</v>
      </c>
      <c r="S8" s="46">
        <f ca="1">IFERROR(__xludf.DUMMYFUNCTION("""COMPUTED_VALUE"""),2658)</f>
        <v>2658</v>
      </c>
    </row>
    <row r="9" spans="1:19">
      <c r="A9" s="46" t="str">
        <f ca="1">IFERROR(__xludf.DUMMYFUNCTION("""COMPUTED_VALUE"""),"REUNIONES CON EMPRENDEDORES Y/O EMPRESARIOS PARA PROMOVER LA ECONOMIA")</f>
        <v>REUNIONES CON EMPRENDEDORES Y/O EMPRESARIOS PARA PROMOVER LA ECONOMIA</v>
      </c>
      <c r="B9" s="46">
        <f ca="1">IFERROR(__xludf.DUMMYFUNCTION("""COMPUTED_VALUE"""),1500)</f>
        <v>1500</v>
      </c>
      <c r="C9" s="46" t="str">
        <f ca="1">IFERROR(__xludf.DUMMYFUNCTION("""COMPUTED_VALUE"""),"REUNIONES")</f>
        <v>REUNIONES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IFERROR(__xludf.DUMMYFUNCTION("""COMPUTED_VALUE"""),89.2666666666666)</f>
        <v>89.266666666666595</v>
      </c>
      <c r="G9" s="46">
        <f ca="1">IFERROR(__xludf.DUMMYFUNCTION("""COMPUTED_VALUE"""),0)</f>
        <v>0</v>
      </c>
      <c r="H9" s="46">
        <f ca="1">IFERROR(__xludf.DUMMYFUNCTION("""COMPUTED_VALUE"""),34)</f>
        <v>34</v>
      </c>
      <c r="I9" s="46">
        <f ca="1">IFERROR(__xludf.DUMMYFUNCTION("""COMPUTED_VALUE"""),21)</f>
        <v>21</v>
      </c>
      <c r="J9" s="46">
        <f ca="1">IFERROR(__xludf.DUMMYFUNCTION("""COMPUTED_VALUE"""),5)</f>
        <v>5</v>
      </c>
      <c r="K9" s="46">
        <f ca="1">IFERROR(__xludf.DUMMYFUNCTION("""COMPUTED_VALUE"""),95)</f>
        <v>95</v>
      </c>
      <c r="L9" s="46">
        <f ca="1">IFERROR(__xludf.DUMMYFUNCTION("""COMPUTED_VALUE"""),0)</f>
        <v>0</v>
      </c>
      <c r="M9" s="46">
        <f ca="1">IFERROR(__xludf.DUMMYFUNCTION("""COMPUTED_VALUE"""),0)</f>
        <v>0</v>
      </c>
      <c r="N9" s="46">
        <f ca="1">IFERROR(__xludf.DUMMYFUNCTION("""COMPUTED_VALUE"""),934)</f>
        <v>934</v>
      </c>
      <c r="O9" s="46">
        <f ca="1">IFERROR(__xludf.DUMMYFUNCTION("""COMPUTED_VALUE"""),1)</f>
        <v>1</v>
      </c>
      <c r="P9" s="46">
        <f ca="1">IFERROR(__xludf.DUMMYFUNCTION("""COMPUTED_VALUE"""),94)</f>
        <v>94</v>
      </c>
      <c r="Q9" s="46">
        <f ca="1">IFERROR(__xludf.DUMMYFUNCTION("""COMPUTED_VALUE"""),75)</f>
        <v>75</v>
      </c>
      <c r="R9" s="46">
        <f ca="1">IFERROR(__xludf.DUMMYFUNCTION("""COMPUTED_VALUE"""),80)</f>
        <v>80</v>
      </c>
      <c r="S9" s="46">
        <f ca="1">IFERROR(__xludf.DUMMYFUNCTION("""COMPUTED_VALUE"""),1339)</f>
        <v>1339</v>
      </c>
    </row>
    <row r="10" spans="1:19">
      <c r="A10" s="46" t="str">
        <f ca="1">IFERROR(__xludf.DUMMYFUNCTION("""COMPUTED_VALUE"""),"ATENCION A PRODUCTORES")</f>
        <v>ATENCION A PRODUCTORES</v>
      </c>
      <c r="B10" s="46">
        <f ca="1">IFERROR(__xludf.DUMMYFUNCTION("""COMPUTED_VALUE"""),55)</f>
        <v>55</v>
      </c>
      <c r="C10" s="46" t="str">
        <f ca="1">IFERROR(__xludf.DUMMYFUNCTION("""COMPUTED_VALUE"""),"ATENCIONES")</f>
        <v>ATENCIONES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IFERROR(__xludf.DUMMYFUNCTION("""COMPUTED_VALUE"""),1.81818181818181)</f>
        <v>1.8181818181818099</v>
      </c>
      <c r="G10" s="46">
        <f ca="1">IFERROR(__xludf.DUMMYFUNCTION("""COMPUTED_VALUE"""),0)</f>
        <v>0</v>
      </c>
      <c r="H10" s="46">
        <f ca="1">IFERROR(__xludf.DUMMYFUNCTION("""COMPUTED_VALUE"""),0)</f>
        <v>0</v>
      </c>
      <c r="I10" s="46">
        <f ca="1">IFERROR(__xludf.DUMMYFUNCTION("""COMPUTED_VALUE"""),0)</f>
        <v>0</v>
      </c>
      <c r="J10" s="46">
        <f ca="1">IFERROR(__xludf.DUMMYFUNCTION("""COMPUTED_VALUE"""),0)</f>
        <v>0</v>
      </c>
      <c r="K10" s="46">
        <f ca="1">IFERROR(__xludf.DUMMYFUNCTION("""COMPUTED_VALUE"""),0)</f>
        <v>0</v>
      </c>
      <c r="L10" s="46">
        <f ca="1">IFERROR(__xludf.DUMMYFUNCTION("""COMPUTED_VALUE"""),0)</f>
        <v>0</v>
      </c>
      <c r="M10" s="46">
        <f ca="1">IFERROR(__xludf.DUMMYFUNCTION("""COMPUTED_VALUE"""),0)</f>
        <v>0</v>
      </c>
      <c r="N10" s="46">
        <f ca="1">IFERROR(__xludf.DUMMYFUNCTION("""COMPUTED_VALUE"""),1)</f>
        <v>1</v>
      </c>
      <c r="O10" s="46">
        <f ca="1">IFERROR(__xludf.DUMMYFUNCTION("""COMPUTED_VALUE"""),0)</f>
        <v>0</v>
      </c>
      <c r="P10" s="46">
        <f ca="1">IFERROR(__xludf.DUMMYFUNCTION("""COMPUTED_VALUE"""),0)</f>
        <v>0</v>
      </c>
      <c r="Q10" s="46">
        <f ca="1">IFERROR(__xludf.DUMMYFUNCTION("""COMPUTED_VALUE"""),0)</f>
        <v>0</v>
      </c>
      <c r="R10" s="46">
        <f ca="1">IFERROR(__xludf.DUMMYFUNCTION("""COMPUTED_VALUE"""),0)</f>
        <v>0</v>
      </c>
      <c r="S10" s="46">
        <f ca="1">IFERROR(__xludf.DUMMYFUNCTION("""COMPUTED_VALUE"""),1)</f>
        <v>1</v>
      </c>
    </row>
    <row r="11" spans="1:19">
      <c r="A11" s="46" t="str">
        <f ca="1">IFERROR(__xludf.DUMMYFUNCTION("""COMPUTED_VALUE"""),"REUNIONES FEDERALES APLICADO EN EL DESARROLLO DEL CAMPO")</f>
        <v>REUNIONES FEDERALES APLICADO EN EL DESARROLLO DEL CAMPO</v>
      </c>
      <c r="B11" s="46">
        <f ca="1">IFERROR(__xludf.DUMMYFUNCTION("""COMPUTED_VALUE"""),5)</f>
        <v>5</v>
      </c>
      <c r="C11" s="46" t="str">
        <f ca="1">IFERROR(__xludf.DUMMYFUNCTION("""COMPUTED_VALUE"""),"REUNIONES")</f>
        <v>REUNIONES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IFERROR(__xludf.DUMMYFUNCTION("""COMPUTED_VALUE"""),60)</f>
        <v>60</v>
      </c>
      <c r="G11" s="46">
        <f ca="1">IFERROR(__xludf.DUMMYFUNCTION("""COMPUTED_VALUE"""),0)</f>
        <v>0</v>
      </c>
      <c r="H11" s="46">
        <f ca="1">IFERROR(__xludf.DUMMYFUNCTION("""COMPUTED_VALUE"""),0)</f>
        <v>0</v>
      </c>
      <c r="I11" s="46">
        <f ca="1">IFERROR(__xludf.DUMMYFUNCTION("""COMPUTED_VALUE"""),0)</f>
        <v>0</v>
      </c>
      <c r="J11" s="46">
        <f ca="1">IFERROR(__xludf.DUMMYFUNCTION("""COMPUTED_VALUE"""),1)</f>
        <v>1</v>
      </c>
      <c r="K11" s="46">
        <f ca="1">IFERROR(__xludf.DUMMYFUNCTION("""COMPUTED_VALUE"""),0)</f>
        <v>0</v>
      </c>
      <c r="L11" s="46">
        <f ca="1">IFERROR(__xludf.DUMMYFUNCTION("""COMPUTED_VALUE"""),0)</f>
        <v>0</v>
      </c>
      <c r="M11" s="46">
        <f ca="1">IFERROR(__xludf.DUMMYFUNCTION("""COMPUTED_VALUE"""),0)</f>
        <v>0</v>
      </c>
      <c r="N11" s="46">
        <f ca="1">IFERROR(__xludf.DUMMYFUNCTION("""COMPUTED_VALUE"""),0)</f>
        <v>0</v>
      </c>
      <c r="O11" s="46">
        <f ca="1">IFERROR(__xludf.DUMMYFUNCTION("""COMPUTED_VALUE"""),0)</f>
        <v>0</v>
      </c>
      <c r="P11" s="46">
        <f ca="1">IFERROR(__xludf.DUMMYFUNCTION("""COMPUTED_VALUE"""),1)</f>
        <v>1</v>
      </c>
      <c r="Q11" s="46">
        <f ca="1">IFERROR(__xludf.DUMMYFUNCTION("""COMPUTED_VALUE"""),0)</f>
        <v>0</v>
      </c>
      <c r="R11" s="46">
        <f ca="1">IFERROR(__xludf.DUMMYFUNCTION("""COMPUTED_VALUE"""),1)</f>
        <v>1</v>
      </c>
      <c r="S11" s="46">
        <f ca="1">IFERROR(__xludf.DUMMYFUNCTION("""COMPUTED_VALUE"""),3)</f>
        <v>3</v>
      </c>
    </row>
    <row r="12" spans="1:19">
      <c r="A12" s="46" t="str">
        <f ca="1">IFERROR(__xludf.DUMMYFUNCTION("""COMPUTED_VALUE"""),"PERSONAS BENEFICIADAS")</f>
        <v>PERSONAS BENEFICIADAS</v>
      </c>
      <c r="B12" s="46">
        <f ca="1">IFERROR(__xludf.DUMMYFUNCTION("""COMPUTED_VALUE"""),174)</f>
        <v>174</v>
      </c>
      <c r="C12" s="46" t="str">
        <f ca="1">IFERROR(__xludf.DUMMYFUNCTION("""COMPUTED_VALUE"""),"PERSONAS BENEFICIADAS")</f>
        <v>PERSONAS BENEFICIADAS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IFERROR(__xludf.DUMMYFUNCTION("""COMPUTED_VALUE"""),287.35632183908)</f>
        <v>287.35632183908001</v>
      </c>
      <c r="G12" s="46">
        <f ca="1">IFERROR(__xludf.DUMMYFUNCTION("""COMPUTED_VALUE"""),0)</f>
        <v>0</v>
      </c>
      <c r="H12" s="46">
        <f ca="1">IFERROR(__xludf.DUMMYFUNCTION("""COMPUTED_VALUE"""),0)</f>
        <v>0</v>
      </c>
      <c r="I12" s="46">
        <f ca="1">IFERROR(__xludf.DUMMYFUNCTION("""COMPUTED_VALUE"""),0)</f>
        <v>0</v>
      </c>
      <c r="J12" s="46">
        <f ca="1">IFERROR(__xludf.DUMMYFUNCTION("""COMPUTED_VALUE"""),0)</f>
        <v>0</v>
      </c>
      <c r="K12" s="46">
        <f ca="1">IFERROR(__xludf.DUMMYFUNCTION("""COMPUTED_VALUE"""),0)</f>
        <v>0</v>
      </c>
      <c r="L12" s="46">
        <f ca="1">IFERROR(__xludf.DUMMYFUNCTION("""COMPUTED_VALUE"""),0)</f>
        <v>0</v>
      </c>
      <c r="M12" s="46">
        <f ca="1">IFERROR(__xludf.DUMMYFUNCTION("""COMPUTED_VALUE"""),0)</f>
        <v>0</v>
      </c>
      <c r="N12" s="46">
        <f ca="1">IFERROR(__xludf.DUMMYFUNCTION("""COMPUTED_VALUE"""),0)</f>
        <v>0</v>
      </c>
      <c r="O12" s="46">
        <f ca="1">IFERROR(__xludf.DUMMYFUNCTION("""COMPUTED_VALUE"""),0)</f>
        <v>0</v>
      </c>
      <c r="P12" s="46">
        <f ca="1">IFERROR(__xludf.DUMMYFUNCTION("""COMPUTED_VALUE"""),150)</f>
        <v>150</v>
      </c>
      <c r="Q12" s="46">
        <f ca="1">IFERROR(__xludf.DUMMYFUNCTION("""COMPUTED_VALUE"""),0)</f>
        <v>0</v>
      </c>
      <c r="R12" s="46">
        <f ca="1">IFERROR(__xludf.DUMMYFUNCTION("""COMPUTED_VALUE"""),350)</f>
        <v>350</v>
      </c>
      <c r="S12" s="46">
        <f ca="1">IFERROR(__xludf.DUMMYFUNCTION("""COMPUTED_VALUE"""),500)</f>
        <v>500</v>
      </c>
    </row>
    <row r="13" spans="1:19">
      <c r="A13" s="46" t="str">
        <f ca="1">IFERROR(__xludf.DUMMYFUNCTION("""COMPUTED_VALUE"""),"REUNIONES ESTATALES APLICADO EN EL DESARROLLO DEL CAMPO")</f>
        <v>REUNIONES ESTATALES APLICADO EN EL DESARROLLO DEL CAMPO</v>
      </c>
      <c r="B13" s="46">
        <f ca="1">IFERROR(__xludf.DUMMYFUNCTION("""COMPUTED_VALUE"""),15)</f>
        <v>15</v>
      </c>
      <c r="C13" s="46" t="str">
        <f ca="1">IFERROR(__xludf.DUMMYFUNCTION("""COMPUTED_VALUE"""),"REUNIONES")</f>
        <v>REUNIONES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IFERROR(__xludf.DUMMYFUNCTION("""COMPUTED_VALUE"""),113.333333333333)</f>
        <v>113.333333333333</v>
      </c>
      <c r="G13" s="46">
        <f ca="1">IFERROR(__xludf.DUMMYFUNCTION("""COMPUTED_VALUE"""),0)</f>
        <v>0</v>
      </c>
      <c r="H13" s="46">
        <f ca="1">IFERROR(__xludf.DUMMYFUNCTION("""COMPUTED_VALUE"""),0)</f>
        <v>0</v>
      </c>
      <c r="I13" s="46">
        <f ca="1">IFERROR(__xludf.DUMMYFUNCTION("""COMPUTED_VALUE"""),0)</f>
        <v>0</v>
      </c>
      <c r="J13" s="46">
        <f ca="1">IFERROR(__xludf.DUMMYFUNCTION("""COMPUTED_VALUE"""),2)</f>
        <v>2</v>
      </c>
      <c r="K13" s="46">
        <f ca="1">IFERROR(__xludf.DUMMYFUNCTION("""COMPUTED_VALUE"""),2)</f>
        <v>2</v>
      </c>
      <c r="L13" s="46">
        <f ca="1">IFERROR(__xludf.DUMMYFUNCTION("""COMPUTED_VALUE"""),0)</f>
        <v>0</v>
      </c>
      <c r="M13" s="46">
        <f ca="1">IFERROR(__xludf.DUMMYFUNCTION("""COMPUTED_VALUE"""),0)</f>
        <v>0</v>
      </c>
      <c r="N13" s="46">
        <f ca="1">IFERROR(__xludf.DUMMYFUNCTION("""COMPUTED_VALUE"""),2)</f>
        <v>2</v>
      </c>
      <c r="O13" s="46">
        <f ca="1">IFERROR(__xludf.DUMMYFUNCTION("""COMPUTED_VALUE"""),0)</f>
        <v>0</v>
      </c>
      <c r="P13" s="46">
        <f ca="1">IFERROR(__xludf.DUMMYFUNCTION("""COMPUTED_VALUE"""),11)</f>
        <v>11</v>
      </c>
      <c r="Q13" s="46">
        <f ca="1">IFERROR(__xludf.DUMMYFUNCTION("""COMPUTED_VALUE"""),0)</f>
        <v>0</v>
      </c>
      <c r="R13" s="46">
        <f ca="1">IFERROR(__xludf.DUMMYFUNCTION("""COMPUTED_VALUE"""),0)</f>
        <v>0</v>
      </c>
      <c r="S13" s="46">
        <f ca="1">IFERROR(__xludf.DUMMYFUNCTION("""COMPUTED_VALUE"""),17)</f>
        <v>17</v>
      </c>
    </row>
    <row r="14" spans="1:19">
      <c r="A14" s="46" t="str">
        <f ca="1">IFERROR(__xludf.DUMMYFUNCTION("""COMPUTED_VALUE"""),"PERSONAS BENEFICIADAS")</f>
        <v>PERSONAS BENEFICIADAS</v>
      </c>
      <c r="B14" s="46">
        <f ca="1">IFERROR(__xludf.DUMMYFUNCTION("""COMPUTED_VALUE"""),620)</f>
        <v>620</v>
      </c>
      <c r="C14" s="46" t="str">
        <f ca="1">IFERROR(__xludf.DUMMYFUNCTION("""COMPUTED_VALUE"""),"PERSONAS BENEFICIADAS")</f>
        <v>PERSONAS BENEFICIADAS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IFERROR(__xludf.DUMMYFUNCTION("""COMPUTED_VALUE"""),217.419354838709)</f>
        <v>217.41935483870901</v>
      </c>
      <c r="G14" s="46">
        <f ca="1">IFERROR(__xludf.DUMMYFUNCTION("""COMPUTED_VALUE"""),34)</f>
        <v>34</v>
      </c>
      <c r="H14" s="46">
        <f ca="1">IFERROR(__xludf.DUMMYFUNCTION("""COMPUTED_VALUE"""),55)</f>
        <v>55</v>
      </c>
      <c r="I14" s="46">
        <f ca="1">IFERROR(__xludf.DUMMYFUNCTION("""COMPUTED_VALUE"""),43)</f>
        <v>43</v>
      </c>
      <c r="J14" s="46">
        <f ca="1">IFERROR(__xludf.DUMMYFUNCTION("""COMPUTED_VALUE"""),0)</f>
        <v>0</v>
      </c>
      <c r="K14" s="46">
        <f ca="1">IFERROR(__xludf.DUMMYFUNCTION("""COMPUTED_VALUE"""),0)</f>
        <v>0</v>
      </c>
      <c r="L14" s="46">
        <f ca="1">IFERROR(__xludf.DUMMYFUNCTION("""COMPUTED_VALUE"""),0)</f>
        <v>0</v>
      </c>
      <c r="M14" s="46">
        <f ca="1">IFERROR(__xludf.DUMMYFUNCTION("""COMPUTED_VALUE"""),0)</f>
        <v>0</v>
      </c>
      <c r="N14" s="46">
        <f ca="1">IFERROR(__xludf.DUMMYFUNCTION("""COMPUTED_VALUE"""),226)</f>
        <v>226</v>
      </c>
      <c r="O14" s="46">
        <f ca="1">IFERROR(__xludf.DUMMYFUNCTION("""COMPUTED_VALUE"""),0)</f>
        <v>0</v>
      </c>
      <c r="P14" s="46">
        <f ca="1">IFERROR(__xludf.DUMMYFUNCTION("""COMPUTED_VALUE"""),250)</f>
        <v>250</v>
      </c>
      <c r="Q14" s="46">
        <f ca="1">IFERROR(__xludf.DUMMYFUNCTION("""COMPUTED_VALUE"""),0)</f>
        <v>0</v>
      </c>
      <c r="R14" s="46">
        <f ca="1">IFERROR(__xludf.DUMMYFUNCTION("""COMPUTED_VALUE"""),740)</f>
        <v>740</v>
      </c>
      <c r="S14" s="46">
        <f ca="1">IFERROR(__xludf.DUMMYFUNCTION("""COMPUTED_VALUE"""),1348)</f>
        <v>1348</v>
      </c>
    </row>
    <row r="15" spans="1:19">
      <c r="A15" s="46" t="str">
        <f ca="1">IFERROR(__xludf.DUMMYFUNCTION("""COMPUTED_VALUE"""),"REUNIONES MUNICIPALES APLICADOS AL DESARROLLO RURAL")</f>
        <v>REUNIONES MUNICIPALES APLICADOS AL DESARROLLO RURAL</v>
      </c>
      <c r="B15" s="46">
        <f ca="1">IFERROR(__xludf.DUMMYFUNCTION("""COMPUTED_VALUE"""),43)</f>
        <v>43</v>
      </c>
      <c r="C15" s="46" t="str">
        <f ca="1">IFERROR(__xludf.DUMMYFUNCTION("""COMPUTED_VALUE"""),"REUNIONES")</f>
        <v>REUNIONES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IFERROR(__xludf.DUMMYFUNCTION("""COMPUTED_VALUE"""),186.046511627906)</f>
        <v>186.046511627906</v>
      </c>
      <c r="G15" s="46">
        <f ca="1">IFERROR(__xludf.DUMMYFUNCTION("""COMPUTED_VALUE"""),8)</f>
        <v>8</v>
      </c>
      <c r="H15" s="46">
        <f ca="1">IFERROR(__xludf.DUMMYFUNCTION("""COMPUTED_VALUE"""),15)</f>
        <v>15</v>
      </c>
      <c r="I15" s="46">
        <f ca="1">IFERROR(__xludf.DUMMYFUNCTION("""COMPUTED_VALUE"""),5)</f>
        <v>5</v>
      </c>
      <c r="J15" s="46">
        <f ca="1">IFERROR(__xludf.DUMMYFUNCTION("""COMPUTED_VALUE"""),10)</f>
        <v>10</v>
      </c>
      <c r="K15" s="46">
        <f ca="1">IFERROR(__xludf.DUMMYFUNCTION("""COMPUTED_VALUE"""),6)</f>
        <v>6</v>
      </c>
      <c r="L15" s="46">
        <f ca="1">IFERROR(__xludf.DUMMYFUNCTION("""COMPUTED_VALUE"""),0)</f>
        <v>0</v>
      </c>
      <c r="M15" s="46">
        <f ca="1">IFERROR(__xludf.DUMMYFUNCTION("""COMPUTED_VALUE"""),0)</f>
        <v>0</v>
      </c>
      <c r="N15" s="46">
        <f ca="1">IFERROR(__xludf.DUMMYFUNCTION("""COMPUTED_VALUE"""),6)</f>
        <v>6</v>
      </c>
      <c r="O15" s="46">
        <f ca="1">IFERROR(__xludf.DUMMYFUNCTION("""COMPUTED_VALUE"""),2)</f>
        <v>2</v>
      </c>
      <c r="P15" s="46">
        <f ca="1">IFERROR(__xludf.DUMMYFUNCTION("""COMPUTED_VALUE"""),1)</f>
        <v>1</v>
      </c>
      <c r="Q15" s="46">
        <f ca="1">IFERROR(__xludf.DUMMYFUNCTION("""COMPUTED_VALUE"""),11)</f>
        <v>11</v>
      </c>
      <c r="R15" s="46">
        <f ca="1">IFERROR(__xludf.DUMMYFUNCTION("""COMPUTED_VALUE"""),16)</f>
        <v>16</v>
      </c>
      <c r="S15" s="46">
        <f ca="1">IFERROR(__xludf.DUMMYFUNCTION("""COMPUTED_VALUE"""),80)</f>
        <v>80</v>
      </c>
    </row>
    <row r="16" spans="1:19">
      <c r="A16" s="46" t="str">
        <f ca="1">IFERROR(__xludf.DUMMYFUNCTION("""COMPUTED_VALUE"""),"PERSONAS BENEFICIADAS")</f>
        <v>PERSONAS BENEFICIADAS</v>
      </c>
      <c r="B16" s="46">
        <f ca="1">IFERROR(__xludf.DUMMYFUNCTION("""COMPUTED_VALUE"""),1900)</f>
        <v>1900</v>
      </c>
      <c r="C16" s="46" t="str">
        <f ca="1">IFERROR(__xludf.DUMMYFUNCTION("""COMPUTED_VALUE"""),"PERSONAS")</f>
        <v>PERSONAS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IFERROR(__xludf.DUMMYFUNCTION("""COMPUTED_VALUE"""),130.263157894736)</f>
        <v>130.263157894736</v>
      </c>
      <c r="G16" s="46">
        <f ca="1">IFERROR(__xludf.DUMMYFUNCTION("""COMPUTED_VALUE"""),0)</f>
        <v>0</v>
      </c>
      <c r="H16" s="46">
        <f ca="1">IFERROR(__xludf.DUMMYFUNCTION("""COMPUTED_VALUE"""),0)</f>
        <v>0</v>
      </c>
      <c r="I16" s="46">
        <f ca="1">IFERROR(__xludf.DUMMYFUNCTION("""COMPUTED_VALUE"""),0)</f>
        <v>0</v>
      </c>
      <c r="J16" s="46">
        <f ca="1">IFERROR(__xludf.DUMMYFUNCTION("""COMPUTED_VALUE"""),210)</f>
        <v>210</v>
      </c>
      <c r="K16" s="46">
        <f ca="1">IFERROR(__xludf.DUMMYFUNCTION("""COMPUTED_VALUE"""),0)</f>
        <v>0</v>
      </c>
      <c r="L16" s="46">
        <f ca="1">IFERROR(__xludf.DUMMYFUNCTION("""COMPUTED_VALUE"""),0)</f>
        <v>0</v>
      </c>
      <c r="M16" s="46">
        <f ca="1">IFERROR(__xludf.DUMMYFUNCTION("""COMPUTED_VALUE"""),0)</f>
        <v>0</v>
      </c>
      <c r="N16" s="46">
        <f ca="1">IFERROR(__xludf.DUMMYFUNCTION("""COMPUTED_VALUE"""),1334)</f>
        <v>1334</v>
      </c>
      <c r="O16" s="46">
        <f ca="1">IFERROR(__xludf.DUMMYFUNCTION("""COMPUTED_VALUE"""),450)</f>
        <v>450</v>
      </c>
      <c r="P16" s="46">
        <f ca="1">IFERROR(__xludf.DUMMYFUNCTION("""COMPUTED_VALUE"""),2)</f>
        <v>2</v>
      </c>
      <c r="Q16" s="46">
        <f ca="1">IFERROR(__xludf.DUMMYFUNCTION("""COMPUTED_VALUE"""),179)</f>
        <v>179</v>
      </c>
      <c r="R16" s="46">
        <f ca="1">IFERROR(__xludf.DUMMYFUNCTION("""COMPUTED_VALUE"""),300)</f>
        <v>300</v>
      </c>
      <c r="S16" s="46">
        <f ca="1">IFERROR(__xludf.DUMMYFUNCTION("""COMPUTED_VALUE"""),2475)</f>
        <v>2475</v>
      </c>
    </row>
    <row r="17" spans="1:19">
      <c r="A17" s="46" t="str">
        <f ca="1">IFERROR(__xludf.DUMMYFUNCTION("""COMPUTED_VALUE"""),"PRODUCTORES DEL CAMPO ATENDIDOS")</f>
        <v>PRODUCTORES DEL CAMPO ATENDIDOS</v>
      </c>
      <c r="B17" s="46">
        <f ca="1">IFERROR(__xludf.DUMMYFUNCTION("""COMPUTED_VALUE"""),450)</f>
        <v>450</v>
      </c>
      <c r="C17" s="46" t="str">
        <f ca="1">IFERROR(__xludf.DUMMYFUNCTION("""COMPUTED_VALUE"""),"PRODUCTORES")</f>
        <v>PRODUCTORES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IFERROR(__xludf.DUMMYFUNCTION("""COMPUTED_VALUE"""),94.8888888888888)</f>
        <v>94.8888888888888</v>
      </c>
      <c r="G17" s="46">
        <f ca="1">IFERROR(__xludf.DUMMYFUNCTION("""COMPUTED_VALUE"""),0)</f>
        <v>0</v>
      </c>
      <c r="H17" s="46">
        <f ca="1">IFERROR(__xludf.DUMMYFUNCTION("""COMPUTED_VALUE"""),5)</f>
        <v>5</v>
      </c>
      <c r="I17" s="46">
        <f ca="1">IFERROR(__xludf.DUMMYFUNCTION("""COMPUTED_VALUE"""),2)</f>
        <v>2</v>
      </c>
      <c r="J17" s="46">
        <f ca="1">IFERROR(__xludf.DUMMYFUNCTION("""COMPUTED_VALUE"""),81)</f>
        <v>81</v>
      </c>
      <c r="K17" s="46">
        <f ca="1">IFERROR(__xludf.DUMMYFUNCTION("""COMPUTED_VALUE"""),7)</f>
        <v>7</v>
      </c>
      <c r="L17" s="46">
        <f ca="1">IFERROR(__xludf.DUMMYFUNCTION("""COMPUTED_VALUE"""),0)</f>
        <v>0</v>
      </c>
      <c r="M17" s="46">
        <f ca="1">IFERROR(__xludf.DUMMYFUNCTION("""COMPUTED_VALUE"""),0)</f>
        <v>0</v>
      </c>
      <c r="N17" s="46">
        <f ca="1">IFERROR(__xludf.DUMMYFUNCTION("""COMPUTED_VALUE"""),70)</f>
        <v>70</v>
      </c>
      <c r="O17" s="46">
        <f ca="1">IFERROR(__xludf.DUMMYFUNCTION("""COMPUTED_VALUE"""),194)</f>
        <v>194</v>
      </c>
      <c r="P17" s="46">
        <f ca="1">IFERROR(__xludf.DUMMYFUNCTION("""COMPUTED_VALUE"""),28)</f>
        <v>28</v>
      </c>
      <c r="Q17" s="46">
        <f ca="1">IFERROR(__xludf.DUMMYFUNCTION("""COMPUTED_VALUE"""),24)</f>
        <v>24</v>
      </c>
      <c r="R17" s="46">
        <f ca="1">IFERROR(__xludf.DUMMYFUNCTION("""COMPUTED_VALUE"""),16)</f>
        <v>16</v>
      </c>
      <c r="S17" s="46">
        <f ca="1">IFERROR(__xludf.DUMMYFUNCTION("""COMPUTED_VALUE"""),427)</f>
        <v>427</v>
      </c>
    </row>
    <row r="18" spans="1:19">
      <c r="A18" s="46" t="str">
        <f ca="1">IFERROR(__xludf.DUMMYFUNCTION("""COMPUTED_VALUE"""),"ASESORIAS IMPARTIDAS EN TEMAS RELACIONADOS AL CAMPO")</f>
        <v>ASESORIAS IMPARTIDAS EN TEMAS RELACIONADOS AL CAMPO</v>
      </c>
      <c r="B18" s="46">
        <f ca="1">IFERROR(__xludf.DUMMYFUNCTION("""COMPUTED_VALUE"""),550)</f>
        <v>550</v>
      </c>
      <c r="C18" s="46" t="str">
        <f ca="1">IFERROR(__xludf.DUMMYFUNCTION("""COMPUTED_VALUE"""),"ASESORIAS")</f>
        <v>ASESORIAS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IFERROR(__xludf.DUMMYFUNCTION("""COMPUTED_VALUE"""),138.90909090909)</f>
        <v>138.90909090909</v>
      </c>
      <c r="G18" s="46">
        <f ca="1">IFERROR(__xludf.DUMMYFUNCTION("""COMPUTED_VALUE"""),1)</f>
        <v>1</v>
      </c>
      <c r="H18" s="46">
        <f ca="1">IFERROR(__xludf.DUMMYFUNCTION("""COMPUTED_VALUE"""),10)</f>
        <v>10</v>
      </c>
      <c r="I18" s="46">
        <f ca="1">IFERROR(__xludf.DUMMYFUNCTION("""COMPUTED_VALUE"""),11)</f>
        <v>11</v>
      </c>
      <c r="J18" s="46">
        <f ca="1">IFERROR(__xludf.DUMMYFUNCTION("""COMPUTED_VALUE"""),104)</f>
        <v>104</v>
      </c>
      <c r="K18" s="46">
        <f ca="1">IFERROR(__xludf.DUMMYFUNCTION("""COMPUTED_VALUE"""),3)</f>
        <v>3</v>
      </c>
      <c r="L18" s="46">
        <f ca="1">IFERROR(__xludf.DUMMYFUNCTION("""COMPUTED_VALUE"""),0)</f>
        <v>0</v>
      </c>
      <c r="M18" s="46">
        <f ca="1">IFERROR(__xludf.DUMMYFUNCTION("""COMPUTED_VALUE"""),0)</f>
        <v>0</v>
      </c>
      <c r="N18" s="46">
        <f ca="1">IFERROR(__xludf.DUMMYFUNCTION("""COMPUTED_VALUE"""),106)</f>
        <v>106</v>
      </c>
      <c r="O18" s="46">
        <f ca="1">IFERROR(__xludf.DUMMYFUNCTION("""COMPUTED_VALUE"""),194)</f>
        <v>194</v>
      </c>
      <c r="P18" s="46">
        <f ca="1">IFERROR(__xludf.DUMMYFUNCTION("""COMPUTED_VALUE"""),171)</f>
        <v>171</v>
      </c>
      <c r="Q18" s="46">
        <f ca="1">IFERROR(__xludf.DUMMYFUNCTION("""COMPUTED_VALUE"""),90)</f>
        <v>90</v>
      </c>
      <c r="R18" s="46">
        <f ca="1">IFERROR(__xludf.DUMMYFUNCTION("""COMPUTED_VALUE"""),74)</f>
        <v>74</v>
      </c>
      <c r="S18" s="46">
        <f ca="1">IFERROR(__xludf.DUMMYFUNCTION("""COMPUTED_VALUE"""),764)</f>
        <v>764</v>
      </c>
    </row>
    <row r="19" spans="1:19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IFERROR(__xludf.DUMMYFUNCTION("IMPORTRANGE(""https://docs.google.com/spreadsheets/d/1V-ExCWGsb_m1Fu27gkXwQ74tTknSfCDgrkmUzYZOmAg/edit?gid=2067828742#gid=2067828742"",""02!A1:S"")"),"INDICADORES")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IFERROR(__xludf.DUMMYFUNCTION("""COMPUTED_VALUE"""),"EVENTOS QUE PROMUEVAN EL DESARROLLO ECONOMICO O RURAL DEL MUNICIPIO ")</f>
        <v xml:space="preserve">EVENTOS QUE PROMUEVAN EL DESARROLLO ECONOMICO O RURAL DEL MUNICIPIO </v>
      </c>
      <c r="B2" s="46">
        <f ca="1">IFERROR(__xludf.DUMMYFUNCTION("""COMPUTED_VALUE"""),1)</f>
        <v>1</v>
      </c>
      <c r="C2" s="46"/>
      <c r="D2" s="46" t="str">
        <f ca="1">IFERROR(__xludf.DUMMYFUNCTION("""COMPUTED_VALUE"""),"ASCENDENTE")</f>
        <v>ASCENDENTE</v>
      </c>
      <c r="E2" s="46" t="str">
        <f ca="1">IFERROR(__xludf.DUMMYFUNCTION("""COMPUTED_VALUE"""),"BITACORA OPERATIVA")</f>
        <v>BITACORA OPERATIVA</v>
      </c>
      <c r="F2" s="48">
        <f ca="1">IFERROR(__xludf.DUMMYFUNCTION("""COMPUTED_VALUE"""),200)</f>
        <v>200</v>
      </c>
      <c r="G2" s="48">
        <f ca="1">IFERROR(__xludf.DUMMYFUNCTION("""COMPUTED_VALUE"""),1)</f>
        <v>1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IFERROR(__xludf.DUMMYFUNCTION("""COMPUTED_VALUE"""),1)</f>
        <v>1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IFERROR(__xludf.DUMMYFUNCTION("""COMPUTED_VALUE"""),2)</f>
        <v>2</v>
      </c>
    </row>
    <row r="3" spans="1:19">
      <c r="A3" s="46" t="str">
        <f ca="1">IFERROR(__xludf.DUMMYFUNCTION("""COMPUTED_VALUE"""),"ASISTENTES TOTALES AL EVENTO")</f>
        <v>ASISTENTES TOTALES AL EVENTO</v>
      </c>
      <c r="B3" s="46">
        <f ca="1">IFERROR(__xludf.DUMMYFUNCTION("""COMPUTED_VALUE"""),1)</f>
        <v>1</v>
      </c>
      <c r="C3" s="46"/>
      <c r="D3" s="46" t="str">
        <f ca="1">IFERROR(__xludf.DUMMYFUNCTION("""COMPUTED_VALUE"""),"ASCENDENTE")</f>
        <v>ASCENDENTE</v>
      </c>
      <c r="E3" s="46" t="str">
        <f ca="1">IFERROR(__xludf.DUMMYFUNCTION("""COMPUTED_VALUE"""),"BITACORA OPERATIVA")</f>
        <v>BITACORA OPERATIVA</v>
      </c>
      <c r="F3" s="48">
        <f ca="1">IFERROR(__xludf.DUMMYFUNCTION("""COMPUTED_VALUE"""),5550000)</f>
        <v>5550000</v>
      </c>
      <c r="G3" s="48">
        <f ca="1">IFERROR(__xludf.DUMMYFUNCTION("""COMPUTED_VALUE"""),55000)</f>
        <v>55000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IFERROR(__xludf.DUMMYFUNCTION("""COMPUTED_VALUE"""),500)</f>
        <v>500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IFERROR(__xludf.DUMMYFUNCTION("""COMPUTED_VALUE"""),55500)</f>
        <v>55500</v>
      </c>
    </row>
    <row r="4" spans="1:19">
      <c r="A4" s="46" t="str">
        <f ca="1">IFERROR(__xludf.DUMMYFUNCTION("""COMPUTED_VALUE"""),"EMPRESAS BENEFICIADAS CON LOS EVENTOS ")</f>
        <v xml:space="preserve">EMPRESAS BENEFICIADAS CON LOS EVENTOS </v>
      </c>
      <c r="B4" s="46">
        <f ca="1">IFERROR(__xludf.DUMMYFUNCTION("""COMPUTED_VALUE"""),1)</f>
        <v>1</v>
      </c>
      <c r="C4" s="46"/>
      <c r="D4" s="46" t="str">
        <f ca="1">IFERROR(__xludf.DUMMYFUNCTION("""COMPUTED_VALUE"""),"ASCENDENTE")</f>
        <v>ASCENDENTE</v>
      </c>
      <c r="E4" s="46" t="str">
        <f ca="1">IFERROR(__xludf.DUMMYFUNCTION("""COMPUTED_VALUE"""),"BITACORA OPERATIVA")</f>
        <v>BITACORA OPERATIVA</v>
      </c>
      <c r="F4" s="48">
        <f ca="1">IFERROR(__xludf.DUMMYFUNCTION("""COMPUTED_VALUE"""),1400)</f>
        <v>1400</v>
      </c>
      <c r="G4" s="48">
        <f ca="1">IFERROR(__xludf.DUMMYFUNCTION("""COMPUTED_VALUE"""),14)</f>
        <v>14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IFERROR(__xludf.DUMMYFUNCTION("""COMPUTED_VALUE"""),14)</f>
        <v>14</v>
      </c>
    </row>
    <row r="5" spans="1:19">
      <c r="A5" s="46" t="str">
        <f ca="1">IFERROR(__xludf.DUMMYFUNCTION("""COMPUTED_VALUE"""),"CAPACITACIONES / TALLERES DE DESARROLLO ECONOMICO")</f>
        <v>CAPACITACIONES / TALLERES DE DESARROLLO ECONOMICO</v>
      </c>
      <c r="B5" s="46">
        <f ca="1">IFERROR(__xludf.DUMMYFUNCTION("""COMPUTED_VALUE"""),1)</f>
        <v>1</v>
      </c>
      <c r="C5" s="46"/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8">
        <f ca="1">IFERROR(__xludf.DUMMYFUNCTION("""COMPUTED_VALUE"""),14700)</f>
        <v>14700</v>
      </c>
      <c r="G5" s="48">
        <f ca="1">IFERROR(__xludf.DUMMYFUNCTION("""COMPUTED_VALUE"""),88)</f>
        <v>88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IFERROR(__xludf.DUMMYFUNCTION("""COMPUTED_VALUE"""),59)</f>
        <v>59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IFERROR(__xludf.DUMMYFUNCTION("""COMPUTED_VALUE"""),147)</f>
        <v>147</v>
      </c>
    </row>
    <row r="6" spans="1:19">
      <c r="A6" s="46" t="str">
        <f ca="1">IFERROR(__xludf.DUMMYFUNCTION("""COMPUTED_VALUE"""),"ASISTENTES TOTALES A LAS CAPACITACIONES")</f>
        <v>ASISTENTES TOTALES A LAS CAPACITACIONES</v>
      </c>
      <c r="B6" s="46">
        <f ca="1">IFERROR(__xludf.DUMMYFUNCTION("""COMPUTED_VALUE"""),1)</f>
        <v>1</v>
      </c>
      <c r="C6" s="46"/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8">
        <f ca="1">IFERROR(__xludf.DUMMYFUNCTION("""COMPUTED_VALUE"""),8900)</f>
        <v>8900</v>
      </c>
      <c r="G6" s="48">
        <f ca="1">IFERROR(__xludf.DUMMYFUNCTION("""COMPUTED_VALUE"""),89)</f>
        <v>89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IFERROR(__xludf.DUMMYFUNCTION("""COMPUTED_VALUE"""),89)</f>
        <v>89</v>
      </c>
    </row>
    <row r="7" spans="1:19">
      <c r="A7" s="46" t="str">
        <f ca="1">IFERROR(__xludf.DUMMYFUNCTION("""COMPUTED_VALUE"""),"PROYECTOS PARA PROMOVER EL DESARROLLO ECONOMICO")</f>
        <v>PROYECTOS PARA PROMOVER EL DESARROLLO ECONOMICO</v>
      </c>
      <c r="B7" s="46">
        <f ca="1">IFERROR(__xludf.DUMMYFUNCTION("""COMPUTED_VALUE"""),1)</f>
        <v>1</v>
      </c>
      <c r="C7" s="46"/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8">
        <f ca="1">IFERROR(__xludf.DUMMYFUNCTION("""COMPUTED_VALUE"""),600)</f>
        <v>600</v>
      </c>
      <c r="G7" s="48">
        <f ca="1">IFERROR(__xludf.DUMMYFUNCTION("""COMPUTED_VALUE"""),5)</f>
        <v>5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IFERROR(__xludf.DUMMYFUNCTION("""COMPUTED_VALUE"""),1)</f>
        <v>1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IFERROR(__xludf.DUMMYFUNCTION("""COMPUTED_VALUE"""),6)</f>
        <v>6</v>
      </c>
    </row>
    <row r="8" spans="1:19">
      <c r="A8" s="46" t="str">
        <f ca="1">IFERROR(__xludf.DUMMYFUNCTION("""COMPUTED_VALUE"""),"SERVICIOS Y/O PROCEDIMIENTOS")</f>
        <v>SERVICIOS Y/O PROCEDIMIENTOS</v>
      </c>
      <c r="B8" s="46">
        <f ca="1">IFERROR(__xludf.DUMMYFUNCTION("""COMPUTED_VALUE"""),1)</f>
        <v>1</v>
      </c>
      <c r="C8" s="46"/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8">
        <f ca="1">IFERROR(__xludf.DUMMYFUNCTION("""COMPUTED_VALUE"""),24400)</f>
        <v>24400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IFERROR(__xludf.DUMMYFUNCTION("""COMPUTED_VALUE"""),244)</f>
        <v>244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IFERROR(__xludf.DUMMYFUNCTION("""COMPUTED_VALUE"""),244)</f>
        <v>244</v>
      </c>
    </row>
    <row r="9" spans="1:19">
      <c r="A9" s="46" t="str">
        <f ca="1">IFERROR(__xludf.DUMMYFUNCTION("""COMPUTED_VALUE"""),"REUNIONES CON EMPRENDEDORES Y/O EMPRESARIOS PARA PROMOVER LA ECONOMIA   ")</f>
        <v xml:space="preserve">REUNIONES CON EMPRENDEDORES Y/O EMPRESARIOS PARA PROMOVER LA ECONOMIA   </v>
      </c>
      <c r="B9" s="46">
        <f ca="1">IFERROR(__xludf.DUMMYFUNCTION("""COMPUTED_VALUE"""),1)</f>
        <v>1</v>
      </c>
      <c r="C9" s="46"/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8">
        <f ca="1">IFERROR(__xludf.DUMMYFUNCTION("""COMPUTED_VALUE"""),14700)</f>
        <v>14700</v>
      </c>
      <c r="G9" s="48">
        <f ca="1">IFERROR(__xludf.DUMMYFUNCTION("""COMPUTED_VALUE"""),88)</f>
        <v>88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IFERROR(__xludf.DUMMYFUNCTION("""COMPUTED_VALUE"""),59)</f>
        <v>59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IFERROR(__xludf.DUMMYFUNCTION("""COMPUTED_VALUE"""),147)</f>
        <v>147</v>
      </c>
    </row>
    <row r="10" spans="1:19">
      <c r="A10" s="46" t="str">
        <f ca="1">IFERROR(__xludf.DUMMYFUNCTION("""COMPUTED_VALUE"""),"ATENCION A PRODUCTORES")</f>
        <v>ATENCION A PRODUCTORES</v>
      </c>
      <c r="B10" s="46">
        <f ca="1">IFERROR(__xludf.DUMMYFUNCTION("""COMPUTED_VALUE"""),1)</f>
        <v>1</v>
      </c>
      <c r="C10" s="46"/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8">
        <f ca="1">IFERROR(__xludf.DUMMYFUNCTION("""COMPUTED_VALUE"""),500)</f>
        <v>500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IFERROR(__xludf.DUMMYFUNCTION("""COMPUTED_VALUE"""),5)</f>
        <v>5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IFERROR(__xludf.DUMMYFUNCTION("""COMPUTED_VALUE"""),5)</f>
        <v>5</v>
      </c>
    </row>
    <row r="11" spans="1:19">
      <c r="A11" s="46" t="str">
        <f ca="1">IFERROR(__xludf.DUMMYFUNCTION("""COMPUTED_VALUE"""),"REUNIONES FEDERALES APLICADO EN EL DESARROLLO DEL CAMPO")</f>
        <v>REUNIONES FEDERALES APLICADO EN EL DESARROLLO DEL CAMPO</v>
      </c>
      <c r="B11" s="46">
        <f ca="1">IFERROR(__xludf.DUMMYFUNCTION("""COMPUTED_VALUE"""),1)</f>
        <v>1</v>
      </c>
      <c r="C11" s="46"/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8">
        <f ca="1">IFERROR(__xludf.DUMMYFUNCTION("""COMPUTED_VALUE"""),900)</f>
        <v>900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IFERROR(__xludf.DUMMYFUNCTION("""COMPUTED_VALUE"""),9)</f>
        <v>9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IFERROR(__xludf.DUMMYFUNCTION("""COMPUTED_VALUE"""),9)</f>
        <v>9</v>
      </c>
    </row>
    <row r="12" spans="1:19">
      <c r="A12" s="46" t="str">
        <f ca="1">IFERROR(__xludf.DUMMYFUNCTION("""COMPUTED_VALUE"""),"PERSONAS BENEFICIADAS")</f>
        <v>PERSONAS BENEFICIADAS</v>
      </c>
      <c r="B12" s="46">
        <f ca="1">IFERROR(__xludf.DUMMYFUNCTION("""COMPUTED_VALUE"""),1)</f>
        <v>1</v>
      </c>
      <c r="C12" s="46"/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8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IFERROR(__xludf.DUMMYFUNCTION("""COMPUTED_VALUE"""),"REUNIONES ESTATALES APLICADO EN EL DESARROLLO DEL CAMPO")</f>
        <v>REUNIONES ESTATALES APLICADO EN EL DESARROLLO DEL CAMPO</v>
      </c>
      <c r="B13" s="46">
        <f ca="1">IFERROR(__xludf.DUMMYFUNCTION("""COMPUTED_VALUE"""),1)</f>
        <v>1</v>
      </c>
      <c r="C13" s="46"/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8">
        <f ca="1">IFERROR(__xludf.DUMMYFUNCTION("""COMPUTED_VALUE"""),3700)</f>
        <v>3700</v>
      </c>
      <c r="G13" s="48">
        <f ca="1">IFERROR(__xludf.DUMMYFUNCTION("""COMPUTED_VALUE"""),28)</f>
        <v>28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IFERROR(__xludf.DUMMYFUNCTION("""COMPUTED_VALUE"""),9)</f>
        <v>9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IFERROR(__xludf.DUMMYFUNCTION("""COMPUTED_VALUE"""),37)</f>
        <v>37</v>
      </c>
    </row>
    <row r="14" spans="1:19">
      <c r="A14" s="46" t="str">
        <f ca="1">IFERROR(__xludf.DUMMYFUNCTION("""COMPUTED_VALUE"""),"PERSONAS BENEFICIADAS")</f>
        <v>PERSONAS BENEFICIADAS</v>
      </c>
      <c r="B14" s="46">
        <f ca="1">IFERROR(__xludf.DUMMYFUNCTION("""COMPUTED_VALUE"""),1)</f>
        <v>1</v>
      </c>
      <c r="C14" s="46"/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8">
        <f ca="1">IFERROR(__xludf.DUMMYFUNCTION("""COMPUTED_VALUE"""),2800)</f>
        <v>2800</v>
      </c>
      <c r="G14" s="48">
        <f ca="1">IFERROR(__xludf.DUMMYFUNCTION("""COMPUTED_VALUE"""),28)</f>
        <v>28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IFERROR(__xludf.DUMMYFUNCTION("""COMPUTED_VALUE"""),28)</f>
        <v>28</v>
      </c>
    </row>
    <row r="15" spans="1:19">
      <c r="A15" s="46" t="str">
        <f ca="1">IFERROR(__xludf.DUMMYFUNCTION("""COMPUTED_VALUE"""),"REUNIONES MUNICIPALES APLICADOS AL DESARROLLO RURAL")</f>
        <v>REUNIONES MUNICIPALES APLICADOS AL DESARROLLO RURAL</v>
      </c>
      <c r="B15" s="46">
        <f ca="1">IFERROR(__xludf.DUMMYFUNCTION("""COMPUTED_VALUE"""),1)</f>
        <v>1</v>
      </c>
      <c r="C15" s="46"/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8">
        <f ca="1">IFERROR(__xludf.DUMMYFUNCTION("""COMPUTED_VALUE"""),10020900)</f>
        <v>10020900</v>
      </c>
      <c r="G15" s="48">
        <f ca="1">IFERROR(__xludf.DUMMYFUNCTION("""COMPUTED_VALUE"""),100200)</f>
        <v>100200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IFERROR(__xludf.DUMMYFUNCTION("""COMPUTED_VALUE"""),9)</f>
        <v>9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IFERROR(__xludf.DUMMYFUNCTION("""COMPUTED_VALUE"""),100209)</f>
        <v>100209</v>
      </c>
    </row>
    <row r="16" spans="1:19">
      <c r="A16" s="46" t="str">
        <f ca="1">IFERROR(__xludf.DUMMYFUNCTION("""COMPUTED_VALUE"""),"PERSONAS BENEFICIADAS")</f>
        <v>PERSONAS BENEFICIADAS</v>
      </c>
      <c r="B16" s="46">
        <f ca="1">IFERROR(__xludf.DUMMYFUNCTION("""COMPUTED_VALUE"""),1)</f>
        <v>1</v>
      </c>
      <c r="C16" s="46"/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8">
        <f ca="1">IFERROR(__xludf.DUMMYFUNCTION("""COMPUTED_VALUE"""),28500)</f>
        <v>28500</v>
      </c>
      <c r="G16" s="48">
        <f ca="1">IFERROR(__xludf.DUMMYFUNCTION("""COMPUTED_VALUE"""),285)</f>
        <v>285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IFERROR(__xludf.DUMMYFUNCTION("""COMPUTED_VALUE"""),285)</f>
        <v>285</v>
      </c>
    </row>
    <row r="17" spans="1:19">
      <c r="A17" s="46" t="str">
        <f ca="1">IFERROR(__xludf.DUMMYFUNCTION("""COMPUTED_VALUE"""),"PRODUCTORES DEL CAMPO ATENDIDOS ")</f>
        <v xml:space="preserve">PRODUCTORES DEL CAMPO ATENDIDOS </v>
      </c>
      <c r="B17" s="46">
        <f ca="1">IFERROR(__xludf.DUMMYFUNCTION("""COMPUTED_VALUE"""),1)</f>
        <v>1</v>
      </c>
      <c r="C17" s="46"/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8">
        <f ca="1">IFERROR(__xludf.DUMMYFUNCTION("""COMPUTED_VALUE"""),2000)</f>
        <v>2000</v>
      </c>
      <c r="G17" s="48">
        <f ca="1">IFERROR(__xludf.DUMMYFUNCTION("""COMPUTED_VALUE"""),15)</f>
        <v>15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IFERROR(__xludf.DUMMYFUNCTION("""COMPUTED_VALUE"""),5)</f>
        <v>5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IFERROR(__xludf.DUMMYFUNCTION("""COMPUTED_VALUE"""),20)</f>
        <v>20</v>
      </c>
    </row>
    <row r="18" spans="1:19">
      <c r="A18" s="46" t="str">
        <f ca="1">IFERROR(__xludf.DUMMYFUNCTION("""COMPUTED_VALUE"""),"ASESORIAS IMPARTIDAS EN TEMAS RELACIONADOS AL CAMPO")</f>
        <v>ASESORIAS IMPARTIDAS EN TEMAS RELACIONADOS AL CAMPO</v>
      </c>
      <c r="B18" s="46">
        <f ca="1">IFERROR(__xludf.DUMMYFUNCTION("""COMPUTED_VALUE"""),1)</f>
        <v>1</v>
      </c>
      <c r="C18" s="46"/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8">
        <f ca="1">IFERROR(__xludf.DUMMYFUNCTION("""COMPUTED_VALUE"""),14800)</f>
        <v>14800</v>
      </c>
      <c r="G18" s="48">
        <f ca="1">IFERROR(__xludf.DUMMYFUNCTION("""COMPUTED_VALUE"""),94)</f>
        <v>94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IFERROR(__xludf.DUMMYFUNCTION("""COMPUTED_VALUE"""),54)</f>
        <v>54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IFERROR(__xludf.DUMMYFUNCTION("""COMPUTED_VALUE"""),148)</f>
        <v>148</v>
      </c>
    </row>
    <row r="19" spans="1:19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IFERROR(__xludf.DUMMYFUNCTION("IMPORTRANGE(""https://docs.google.com/spreadsheets/d/14XszGl4-Fh-eS7pYDx9CBAcjdaHRqyhrnPc86gnbx8o/edit?gid=1915489439#gid=1915489439"",""01!A1:S"")"),"INDICADORES")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IFERROR(__xludf.DUMMYFUNCTION("""COMPUTED_VALUE"""),"COMITES VECINALES INSTALADOS")</f>
        <v>COMITES VECINALES INSTALADOS</v>
      </c>
      <c r="B2" s="46">
        <f ca="1">IFERROR(__xludf.DUMMYFUNCTION("""COMPUTED_VALUE"""),88)</f>
        <v>88</v>
      </c>
      <c r="C2" s="46" t="str">
        <f ca="1">IFERROR(__xludf.DUMMYFUNCTION("""COMPUTED_VALUE"""),"COMITE")</f>
        <v>COMITE</v>
      </c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IFERROR(__xludf.DUMMYFUNCTION("""COMPUTED_VALUE"""),68.1818181818181)</f>
        <v>68.181818181818102</v>
      </c>
      <c r="G2" s="48">
        <f ca="1">IFERROR(__xludf.DUMMYFUNCTION("""COMPUTED_VALUE"""),4)</f>
        <v>4</v>
      </c>
      <c r="H2" s="48">
        <f ca="1">IFERROR(__xludf.DUMMYFUNCTION("""COMPUTED_VALUE"""),12)</f>
        <v>12</v>
      </c>
      <c r="I2" s="48">
        <f ca="1">IFERROR(__xludf.DUMMYFUNCTION("""COMPUTED_VALUE"""),4)</f>
        <v>4</v>
      </c>
      <c r="J2" s="48">
        <f ca="1">IFERROR(__xludf.DUMMYFUNCTION("""COMPUTED_VALUE"""),7)</f>
        <v>7</v>
      </c>
      <c r="K2" s="48">
        <f ca="1">IFERROR(__xludf.DUMMYFUNCTION("""COMPUTED_VALUE"""),10)</f>
        <v>10</v>
      </c>
      <c r="L2" s="48">
        <f ca="1">IFERROR(__xludf.DUMMYFUNCTION("""COMPUTED_VALUE"""),8)</f>
        <v>8</v>
      </c>
      <c r="M2" s="48">
        <f ca="1">IFERROR(__xludf.DUMMYFUNCTION("""COMPUTED_VALUE"""),0)</f>
        <v>0</v>
      </c>
      <c r="N2" s="48">
        <f ca="1">IFERROR(__xludf.DUMMYFUNCTION("""COMPUTED_VALUE"""),2)</f>
        <v>2</v>
      </c>
      <c r="O2" s="48">
        <f ca="1">IFERROR(__xludf.DUMMYFUNCTION("""COMPUTED_VALUE"""),2)</f>
        <v>2</v>
      </c>
      <c r="P2" s="48">
        <f ca="1">IFERROR(__xludf.DUMMYFUNCTION("""COMPUTED_VALUE"""),4)</f>
        <v>4</v>
      </c>
      <c r="Q2" s="48">
        <f ca="1">IFERROR(__xludf.DUMMYFUNCTION("""COMPUTED_VALUE"""),7)</f>
        <v>7</v>
      </c>
      <c r="R2" s="48">
        <f ca="1">IFERROR(__xludf.DUMMYFUNCTION("""COMPUTED_VALUE"""),0)</f>
        <v>0</v>
      </c>
      <c r="S2" s="48">
        <f ca="1">IFERROR(__xludf.DUMMYFUNCTION("""COMPUTED_VALUE"""),60)</f>
        <v>60</v>
      </c>
    </row>
    <row r="3" spans="1:19">
      <c r="A3" s="46" t="str">
        <f ca="1">IFERROR(__xludf.DUMMYFUNCTION("""COMPUTED_VALUE"""),"COMITES DE OBRA INSTALADOS")</f>
        <v>COMITES DE OBRA INSTALADOS</v>
      </c>
      <c r="B3" s="46">
        <f ca="1">IFERROR(__xludf.DUMMYFUNCTION("""COMPUTED_VALUE"""),72)</f>
        <v>72</v>
      </c>
      <c r="C3" s="46" t="str">
        <f ca="1">IFERROR(__xludf.DUMMYFUNCTION("""COMPUTED_VALUE"""),"COMITE")</f>
        <v>COMITE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IFERROR(__xludf.DUMMYFUNCTION("""COMPUTED_VALUE"""),158.333333333333)</f>
        <v>158.333333333333</v>
      </c>
      <c r="G3" s="48">
        <f ca="1">IFERROR(__xludf.DUMMYFUNCTION("""COMPUTED_VALUE"""),34)</f>
        <v>34</v>
      </c>
      <c r="H3" s="48">
        <f ca="1">IFERROR(__xludf.DUMMYFUNCTION("""COMPUTED_VALUE"""),5)</f>
        <v>5</v>
      </c>
      <c r="I3" s="48">
        <f ca="1">IFERROR(__xludf.DUMMYFUNCTION("""COMPUTED_VALUE"""),9)</f>
        <v>9</v>
      </c>
      <c r="J3" s="48">
        <f ca="1">IFERROR(__xludf.DUMMYFUNCTION("""COMPUTED_VALUE"""),0)</f>
        <v>0</v>
      </c>
      <c r="K3" s="48">
        <f ca="1">IFERROR(__xludf.DUMMYFUNCTION("""COMPUTED_VALUE"""),7)</f>
        <v>7</v>
      </c>
      <c r="L3" s="48">
        <f ca="1">IFERROR(__xludf.DUMMYFUNCTION("""COMPUTED_VALUE"""),0)</f>
        <v>0</v>
      </c>
      <c r="M3" s="48">
        <f ca="1">IFERROR(__xludf.DUMMYFUNCTION("""COMPUTED_VALUE"""),33)</f>
        <v>33</v>
      </c>
      <c r="N3" s="48">
        <f ca="1">IFERROR(__xludf.DUMMYFUNCTION("""COMPUTED_VALUE"""),2)</f>
        <v>2</v>
      </c>
      <c r="O3" s="48">
        <f ca="1">IFERROR(__xludf.DUMMYFUNCTION("""COMPUTED_VALUE"""),8)</f>
        <v>8</v>
      </c>
      <c r="P3" s="48">
        <f ca="1">IFERROR(__xludf.DUMMYFUNCTION("""COMPUTED_VALUE"""),12)</f>
        <v>12</v>
      </c>
      <c r="Q3" s="48">
        <f ca="1">IFERROR(__xludf.DUMMYFUNCTION("""COMPUTED_VALUE"""),4)</f>
        <v>4</v>
      </c>
      <c r="R3" s="48">
        <f ca="1">IFERROR(__xludf.DUMMYFUNCTION("""COMPUTED_VALUE"""),0)</f>
        <v>0</v>
      </c>
      <c r="S3" s="48">
        <f ca="1">IFERROR(__xludf.DUMMYFUNCTION("""COMPUTED_VALUE"""),114)</f>
        <v>114</v>
      </c>
    </row>
    <row r="4" spans="1:19">
      <c r="A4" s="46" t="str">
        <f ca="1">IFERROR(__xludf.DUMMYFUNCTION("""COMPUTED_VALUE"""),"EVENTOS REALIZADOS ")</f>
        <v xml:space="preserve">EVENTOS REALIZADOS </v>
      </c>
      <c r="B4" s="46">
        <f ca="1">IFERROR(__xludf.DUMMYFUNCTION("""COMPUTED_VALUE"""),36)</f>
        <v>36</v>
      </c>
      <c r="C4" s="46" t="str">
        <f ca="1">IFERROR(__xludf.DUMMYFUNCTION("""COMPUTED_VALUE"""),"EVENTO")</f>
        <v>EVENTO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IFERROR(__xludf.DUMMYFUNCTION("""COMPUTED_VALUE"""),77.7777777777777)</f>
        <v>77.7777777777777</v>
      </c>
      <c r="G4" s="48">
        <f ca="1">IFERROR(__xludf.DUMMYFUNCTION("""COMPUTED_VALUE"""),5)</f>
        <v>5</v>
      </c>
      <c r="H4" s="48">
        <f ca="1">IFERROR(__xludf.DUMMYFUNCTION("""COMPUTED_VALUE"""),1)</f>
        <v>1</v>
      </c>
      <c r="I4" s="48">
        <f ca="1">IFERROR(__xludf.DUMMYFUNCTION("""COMPUTED_VALUE"""),0)</f>
        <v>0</v>
      </c>
      <c r="J4" s="48">
        <f ca="1">IFERROR(__xludf.DUMMYFUNCTION("""COMPUTED_VALUE"""),2)</f>
        <v>2</v>
      </c>
      <c r="K4" s="48">
        <f ca="1">IFERROR(__xludf.DUMMYFUNCTION("""COMPUTED_VALUE"""),3)</f>
        <v>3</v>
      </c>
      <c r="L4" s="48">
        <f ca="1">IFERROR(__xludf.DUMMYFUNCTION("""COMPUTED_VALUE"""),0)</f>
        <v>0</v>
      </c>
      <c r="M4" s="48">
        <f ca="1">IFERROR(__xludf.DUMMYFUNCTION("""COMPUTED_VALUE"""),2)</f>
        <v>2</v>
      </c>
      <c r="N4" s="48">
        <f ca="1">IFERROR(__xludf.DUMMYFUNCTION("""COMPUTED_VALUE"""),1)</f>
        <v>1</v>
      </c>
      <c r="O4" s="48">
        <f ca="1">IFERROR(__xludf.DUMMYFUNCTION("""COMPUTED_VALUE"""),1)</f>
        <v>1</v>
      </c>
      <c r="P4" s="48">
        <f ca="1">IFERROR(__xludf.DUMMYFUNCTION("""COMPUTED_VALUE"""),2)</f>
        <v>2</v>
      </c>
      <c r="Q4" s="48">
        <f ca="1">IFERROR(__xludf.DUMMYFUNCTION("""COMPUTED_VALUE"""),5)</f>
        <v>5</v>
      </c>
      <c r="R4" s="48">
        <f ca="1">IFERROR(__xludf.DUMMYFUNCTION("""COMPUTED_VALUE"""),6)</f>
        <v>6</v>
      </c>
      <c r="S4" s="48">
        <f ca="1">IFERROR(__xludf.DUMMYFUNCTION("""COMPUTED_VALUE"""),28)</f>
        <v>28</v>
      </c>
    </row>
    <row r="5" spans="1:19">
      <c r="A5" s="46" t="str">
        <f ca="1">IFERROR(__xludf.DUMMYFUNCTION("""COMPUTED_VALUE"""),"SESIONES DE TALLERES CULTURALES")</f>
        <v>SESIONES DE TALLERES CULTURALES</v>
      </c>
      <c r="B5" s="46">
        <f ca="1">IFERROR(__xludf.DUMMYFUNCTION("""COMPUTED_VALUE"""),1)</f>
        <v>1</v>
      </c>
      <c r="C5" s="46" t="str">
        <f ca="1">IFERROR(__xludf.DUMMYFUNCTION("""COMPUTED_VALUE"""),"TALLERES")</f>
        <v>TALLERES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IFERROR(__xludf.DUMMYFUNCTION("""COMPUTED_VALUE"""),3900)</f>
        <v>3900</v>
      </c>
      <c r="G5" s="48">
        <f ca="1">IFERROR(__xludf.DUMMYFUNCTION("""COMPUTED_VALUE"""),1)</f>
        <v>1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IFERROR(__xludf.DUMMYFUNCTION("""COMPUTED_VALUE"""),1)</f>
        <v>1</v>
      </c>
      <c r="M5" s="48">
        <f ca="1">IFERROR(__xludf.DUMMYFUNCTION("""COMPUTED_VALUE"""),31)</f>
        <v>31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IFERROR(__xludf.DUMMYFUNCTION("""COMPUTED_VALUE"""),3)</f>
        <v>3</v>
      </c>
      <c r="Q5" s="48">
        <f ca="1">IFERROR(__xludf.DUMMYFUNCTION("""COMPUTED_VALUE"""),2)</f>
        <v>2</v>
      </c>
      <c r="R5" s="48">
        <f ca="1">IFERROR(__xludf.DUMMYFUNCTION("""COMPUTED_VALUE"""),1)</f>
        <v>1</v>
      </c>
      <c r="S5" s="48">
        <f ca="1">IFERROR(__xludf.DUMMYFUNCTION("""COMPUTED_VALUE"""),39)</f>
        <v>39</v>
      </c>
    </row>
    <row r="6" spans="1:19">
      <c r="A6" s="46" t="str">
        <f ca="1">IFERROR(__xludf.DUMMYFUNCTION("""COMPUTED_VALUE"""),"PERSONAS BENEFICIADAS")</f>
        <v>PERSONAS BENEFICIADAS</v>
      </c>
      <c r="B6" s="46">
        <f ca="1">IFERROR(__xludf.DUMMYFUNCTION("""COMPUTED_VALUE"""),52520)</f>
        <v>52520</v>
      </c>
      <c r="C6" s="46" t="str">
        <f ca="1">IFERROR(__xludf.DUMMYFUNCTION("""COMPUTED_VALUE"""),"PERSONAS")</f>
        <v>PERSONAS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IFERROR(__xludf.DUMMYFUNCTION("""COMPUTED_VALUE"""),43.2654226961157)</f>
        <v>43.265422696115699</v>
      </c>
      <c r="G6" s="48">
        <f ca="1">IFERROR(__xludf.DUMMYFUNCTION("""COMPUTED_VALUE"""),2858)</f>
        <v>2858</v>
      </c>
      <c r="H6" s="48">
        <f ca="1">IFERROR(__xludf.DUMMYFUNCTION("""COMPUTED_VALUE"""),300)</f>
        <v>300</v>
      </c>
      <c r="I6" s="48">
        <f ca="1">IFERROR(__xludf.DUMMYFUNCTION("""COMPUTED_VALUE"""),250)</f>
        <v>250</v>
      </c>
      <c r="J6" s="48">
        <f ca="1">IFERROR(__xludf.DUMMYFUNCTION("""COMPUTED_VALUE"""),800)</f>
        <v>800</v>
      </c>
      <c r="K6" s="48">
        <f ca="1">IFERROR(__xludf.DUMMYFUNCTION("""COMPUTED_VALUE"""),12250)</f>
        <v>12250</v>
      </c>
      <c r="L6" s="48">
        <f ca="1">IFERROR(__xludf.DUMMYFUNCTION("""COMPUTED_VALUE"""),110)</f>
        <v>110</v>
      </c>
      <c r="M6" s="48">
        <f ca="1">IFERROR(__xludf.DUMMYFUNCTION("""COMPUTED_VALUE"""),360)</f>
        <v>360</v>
      </c>
      <c r="N6" s="48">
        <f ca="1">IFERROR(__xludf.DUMMYFUNCTION("""COMPUTED_VALUE"""),300)</f>
        <v>300</v>
      </c>
      <c r="O6" s="48">
        <f ca="1">IFERROR(__xludf.DUMMYFUNCTION("""COMPUTED_VALUE"""),250)</f>
        <v>250</v>
      </c>
      <c r="P6" s="48">
        <f ca="1">IFERROR(__xludf.DUMMYFUNCTION("""COMPUTED_VALUE"""),338)</f>
        <v>338</v>
      </c>
      <c r="Q6" s="48">
        <f ca="1">IFERROR(__xludf.DUMMYFUNCTION("""COMPUTED_VALUE"""),598)</f>
        <v>598</v>
      </c>
      <c r="R6" s="48">
        <f ca="1">IFERROR(__xludf.DUMMYFUNCTION("""COMPUTED_VALUE"""),4309)</f>
        <v>4309</v>
      </c>
      <c r="S6" s="48">
        <f ca="1">IFERROR(__xludf.DUMMYFUNCTION("""COMPUTED_VALUE"""),22723)</f>
        <v>22723</v>
      </c>
    </row>
    <row r="7" spans="1:19">
      <c r="A7" s="46" t="str">
        <f ca="1">IFERROR(__xludf.DUMMYFUNCTION("""COMPUTED_VALUE"""),"CLASES DE ESCUELA DE FUTBOL")</f>
        <v>CLASES DE ESCUELA DE FUTBOL</v>
      </c>
      <c r="B7" s="46">
        <f ca="1">IFERROR(__xludf.DUMMYFUNCTION("""COMPUTED_VALUE"""),456)</f>
        <v>456</v>
      </c>
      <c r="C7" s="46" t="str">
        <f ca="1">IFERROR(__xludf.DUMMYFUNCTION("""COMPUTED_VALUE"""),"CLASES")</f>
        <v>CLASES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IFERROR(__xludf.DUMMYFUNCTION("""COMPUTED_VALUE"""),94.9561403508771)</f>
        <v>94.956140350877106</v>
      </c>
      <c r="G7" s="48">
        <f ca="1">IFERROR(__xludf.DUMMYFUNCTION("""COMPUTED_VALUE"""),26)</f>
        <v>26</v>
      </c>
      <c r="H7" s="48">
        <f ca="1">IFERROR(__xludf.DUMMYFUNCTION("""COMPUTED_VALUE"""),41)</f>
        <v>41</v>
      </c>
      <c r="I7" s="48">
        <f ca="1">IFERROR(__xludf.DUMMYFUNCTION("""COMPUTED_VALUE"""),39)</f>
        <v>39</v>
      </c>
      <c r="J7" s="48">
        <f ca="1">IFERROR(__xludf.DUMMYFUNCTION("""COMPUTED_VALUE"""),38)</f>
        <v>38</v>
      </c>
      <c r="K7" s="48">
        <f ca="1">IFERROR(__xludf.DUMMYFUNCTION("""COMPUTED_VALUE"""),38)</f>
        <v>38</v>
      </c>
      <c r="L7" s="48">
        <f ca="1">IFERROR(__xludf.DUMMYFUNCTION("""COMPUTED_VALUE"""),38)</f>
        <v>38</v>
      </c>
      <c r="M7" s="48">
        <f ca="1">IFERROR(__xludf.DUMMYFUNCTION("""COMPUTED_VALUE"""),26)</f>
        <v>26</v>
      </c>
      <c r="N7" s="48">
        <f ca="1">IFERROR(__xludf.DUMMYFUNCTION("""COMPUTED_VALUE"""),41)</f>
        <v>41</v>
      </c>
      <c r="O7" s="48">
        <f ca="1">IFERROR(__xludf.DUMMYFUNCTION("""COMPUTED_VALUE"""),39)</f>
        <v>39</v>
      </c>
      <c r="P7" s="48">
        <f ca="1">IFERROR(__xludf.DUMMYFUNCTION("""COMPUTED_VALUE"""),39)</f>
        <v>39</v>
      </c>
      <c r="Q7" s="48">
        <f ca="1">IFERROR(__xludf.DUMMYFUNCTION("""COMPUTED_VALUE"""),37)</f>
        <v>37</v>
      </c>
      <c r="R7" s="48">
        <f ca="1">IFERROR(__xludf.DUMMYFUNCTION("""COMPUTED_VALUE"""),31)</f>
        <v>31</v>
      </c>
      <c r="S7" s="48">
        <f ca="1">IFERROR(__xludf.DUMMYFUNCTION("""COMPUTED_VALUE"""),433)</f>
        <v>433</v>
      </c>
    </row>
    <row r="8" spans="1:19">
      <c r="A8" s="46" t="str">
        <f ca="1">IFERROR(__xludf.DUMMYFUNCTION("""COMPUTED_VALUE"""),"CLASES DE ESCUELA DE BASQUETBOL")</f>
        <v>CLASES DE ESCUELA DE BASQUETBOL</v>
      </c>
      <c r="B8" s="46">
        <f ca="1">IFERROR(__xludf.DUMMYFUNCTION("""COMPUTED_VALUE"""),84)</f>
        <v>84</v>
      </c>
      <c r="C8" s="46" t="str">
        <f ca="1">IFERROR(__xludf.DUMMYFUNCTION("""COMPUTED_VALUE"""),"CLASES")</f>
        <v>CLASES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IFERROR(__xludf.DUMMYFUNCTION("""COMPUTED_VALUE"""),104.761904761904)</f>
        <v>104.76190476190401</v>
      </c>
      <c r="G8" s="48">
        <f ca="1">IFERROR(__xludf.DUMMYFUNCTION("""COMPUTED_VALUE"""),5)</f>
        <v>5</v>
      </c>
      <c r="H8" s="48">
        <f ca="1">IFERROR(__xludf.DUMMYFUNCTION("""COMPUTED_VALUE"""),7)</f>
        <v>7</v>
      </c>
      <c r="I8" s="48">
        <f ca="1">IFERROR(__xludf.DUMMYFUNCTION("""COMPUTED_VALUE"""),9)</f>
        <v>9</v>
      </c>
      <c r="J8" s="48">
        <f ca="1">IFERROR(__xludf.DUMMYFUNCTION("""COMPUTED_VALUE"""),7)</f>
        <v>7</v>
      </c>
      <c r="K8" s="48">
        <f ca="1">IFERROR(__xludf.DUMMYFUNCTION("""COMPUTED_VALUE"""),7)</f>
        <v>7</v>
      </c>
      <c r="L8" s="48">
        <f ca="1">IFERROR(__xludf.DUMMYFUNCTION("""COMPUTED_VALUE"""),7)</f>
        <v>7</v>
      </c>
      <c r="M8" s="48">
        <f ca="1">IFERROR(__xludf.DUMMYFUNCTION("""COMPUTED_VALUE"""),5)</f>
        <v>5</v>
      </c>
      <c r="N8" s="48">
        <f ca="1">IFERROR(__xludf.DUMMYFUNCTION("""COMPUTED_VALUE"""),7)</f>
        <v>7</v>
      </c>
      <c r="O8" s="48">
        <f ca="1">IFERROR(__xludf.DUMMYFUNCTION("""COMPUTED_VALUE"""),9)</f>
        <v>9</v>
      </c>
      <c r="P8" s="48">
        <f ca="1">IFERROR(__xludf.DUMMYFUNCTION("""COMPUTED_VALUE"""),9)</f>
        <v>9</v>
      </c>
      <c r="Q8" s="48">
        <f ca="1">IFERROR(__xludf.DUMMYFUNCTION("""COMPUTED_VALUE"""),8)</f>
        <v>8</v>
      </c>
      <c r="R8" s="48">
        <f ca="1">IFERROR(__xludf.DUMMYFUNCTION("""COMPUTED_VALUE"""),8)</f>
        <v>8</v>
      </c>
      <c r="S8" s="48">
        <f ca="1">IFERROR(__xludf.DUMMYFUNCTION("""COMPUTED_VALUE"""),88)</f>
        <v>88</v>
      </c>
    </row>
    <row r="9" spans="1:19">
      <c r="A9" s="46" t="str">
        <f ca="1">IFERROR(__xludf.DUMMYFUNCTION("""COMPUTED_VALUE"""),"CLASES ESCUELA VOLEYBOL")</f>
        <v>CLASES ESCUELA VOLEYBOL</v>
      </c>
      <c r="B9" s="46">
        <f ca="1">IFERROR(__xludf.DUMMYFUNCTION("""COMPUTED_VALUE"""),240)</f>
        <v>240</v>
      </c>
      <c r="C9" s="46" t="str">
        <f ca="1">IFERROR(__xludf.DUMMYFUNCTION("""COMPUTED_VALUE"""),"CLASES")</f>
        <v>CLASES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IFERROR(__xludf.DUMMYFUNCTION("""COMPUTED_VALUE"""),113.333333333333)</f>
        <v>113.333333333333</v>
      </c>
      <c r="G9" s="48">
        <f ca="1">IFERROR(__xludf.DUMMYFUNCTION("""COMPUTED_VALUE"""),22)</f>
        <v>22</v>
      </c>
      <c r="H9" s="48">
        <f ca="1">IFERROR(__xludf.DUMMYFUNCTION("""COMPUTED_VALUE"""),24)</f>
        <v>24</v>
      </c>
      <c r="I9" s="48">
        <f ca="1">IFERROR(__xludf.DUMMYFUNCTION("""COMPUTED_VALUE"""),12)</f>
        <v>12</v>
      </c>
      <c r="J9" s="48">
        <f ca="1">IFERROR(__xludf.DUMMYFUNCTION("""COMPUTED_VALUE"""),20)</f>
        <v>20</v>
      </c>
      <c r="K9" s="48">
        <f ca="1">IFERROR(__xludf.DUMMYFUNCTION("""COMPUTED_VALUE"""),20)</f>
        <v>20</v>
      </c>
      <c r="L9" s="48">
        <f ca="1">IFERROR(__xludf.DUMMYFUNCTION("""COMPUTED_VALUE"""),20)</f>
        <v>20</v>
      </c>
      <c r="M9" s="48">
        <f ca="1">IFERROR(__xludf.DUMMYFUNCTION("""COMPUTED_VALUE"""),22)</f>
        <v>22</v>
      </c>
      <c r="N9" s="48">
        <f ca="1">IFERROR(__xludf.DUMMYFUNCTION("""COMPUTED_VALUE"""),24)</f>
        <v>24</v>
      </c>
      <c r="O9" s="48">
        <f ca="1">IFERROR(__xludf.DUMMYFUNCTION("""COMPUTED_VALUE"""),12)</f>
        <v>12</v>
      </c>
      <c r="P9" s="48">
        <f ca="1">IFERROR(__xludf.DUMMYFUNCTION("""COMPUTED_VALUE"""),24)</f>
        <v>24</v>
      </c>
      <c r="Q9" s="48">
        <f ca="1">IFERROR(__xludf.DUMMYFUNCTION("""COMPUTED_VALUE"""),36)</f>
        <v>36</v>
      </c>
      <c r="R9" s="48">
        <f ca="1">IFERROR(__xludf.DUMMYFUNCTION("""COMPUTED_VALUE"""),36)</f>
        <v>36</v>
      </c>
      <c r="S9" s="48">
        <f ca="1">IFERROR(__xludf.DUMMYFUNCTION("""COMPUTED_VALUE"""),272)</f>
        <v>272</v>
      </c>
    </row>
    <row r="10" spans="1:19">
      <c r="A10" s="46" t="str">
        <f ca="1">IFERROR(__xludf.DUMMYFUNCTION("""COMPUTED_VALUE"""),"CLASES ESCUELA DE BOX")</f>
        <v>CLASES ESCUELA DE BOX</v>
      </c>
      <c r="B10" s="46">
        <f ca="1">IFERROR(__xludf.DUMMYFUNCTION("""COMPUTED_VALUE"""),216)</f>
        <v>216</v>
      </c>
      <c r="C10" s="46" t="str">
        <f ca="1">IFERROR(__xludf.DUMMYFUNCTION("""COMPUTED_VALUE"""),"CLASES")</f>
        <v>CLASES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IFERROR(__xludf.DUMMYFUNCTION("""COMPUTED_VALUE"""),162.037037037037)</f>
        <v>162.03703703703701</v>
      </c>
      <c r="G10" s="48">
        <f ca="1">IFERROR(__xludf.DUMMYFUNCTION("""COMPUTED_VALUE"""),24)</f>
        <v>24</v>
      </c>
      <c r="H10" s="48">
        <f ca="1">IFERROR(__xludf.DUMMYFUNCTION("""COMPUTED_VALUE"""),24)</f>
        <v>24</v>
      </c>
      <c r="I10" s="48">
        <f ca="1">IFERROR(__xludf.DUMMYFUNCTION("""COMPUTED_VALUE"""),40)</f>
        <v>40</v>
      </c>
      <c r="J10" s="48">
        <f ca="1">IFERROR(__xludf.DUMMYFUNCTION("""COMPUTED_VALUE"""),18)</f>
        <v>18</v>
      </c>
      <c r="K10" s="48">
        <f ca="1">IFERROR(__xludf.DUMMYFUNCTION("""COMPUTED_VALUE"""),18)</f>
        <v>18</v>
      </c>
      <c r="L10" s="48">
        <f ca="1">IFERROR(__xludf.DUMMYFUNCTION("""COMPUTED_VALUE"""),18)</f>
        <v>18</v>
      </c>
      <c r="M10" s="48">
        <f ca="1">IFERROR(__xludf.DUMMYFUNCTION("""COMPUTED_VALUE"""),24)</f>
        <v>24</v>
      </c>
      <c r="N10" s="48">
        <f ca="1">IFERROR(__xludf.DUMMYFUNCTION("""COMPUTED_VALUE"""),24)</f>
        <v>24</v>
      </c>
      <c r="O10" s="48">
        <f ca="1">IFERROR(__xludf.DUMMYFUNCTION("""COMPUTED_VALUE"""),40)</f>
        <v>40</v>
      </c>
      <c r="P10" s="48">
        <f ca="1">IFERROR(__xludf.DUMMYFUNCTION("""COMPUTED_VALUE"""),40)</f>
        <v>40</v>
      </c>
      <c r="Q10" s="48">
        <f ca="1">IFERROR(__xludf.DUMMYFUNCTION("""COMPUTED_VALUE"""),42)</f>
        <v>42</v>
      </c>
      <c r="R10" s="48">
        <f ca="1">IFERROR(__xludf.DUMMYFUNCTION("""COMPUTED_VALUE"""),38)</f>
        <v>38</v>
      </c>
      <c r="S10" s="48">
        <f ca="1">IFERROR(__xludf.DUMMYFUNCTION("""COMPUTED_VALUE"""),350)</f>
        <v>350</v>
      </c>
    </row>
    <row r="11" spans="1:19">
      <c r="A11" s="46" t="str">
        <f ca="1">IFERROR(__xludf.DUMMYFUNCTION("""COMPUTED_VALUE"""),"CLASES ESCUELA DE NATACION")</f>
        <v>CLASES ESCUELA DE NATACION</v>
      </c>
      <c r="B11" s="46">
        <f ca="1">IFERROR(__xludf.DUMMYFUNCTION("""COMPUTED_VALUE"""),2088)</f>
        <v>2088</v>
      </c>
      <c r="C11" s="46" t="str">
        <f ca="1">IFERROR(__xludf.DUMMYFUNCTION("""COMPUTED_VALUE"""),"CLASES")</f>
        <v>CLASES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IFERROR(__xludf.DUMMYFUNCTION("""COMPUTED_VALUE"""),132.088122605364)</f>
        <v>132.08812260536399</v>
      </c>
      <c r="G11" s="48">
        <f ca="1">IFERROR(__xludf.DUMMYFUNCTION("""COMPUTED_VALUE"""),192)</f>
        <v>192</v>
      </c>
      <c r="H11" s="48">
        <f ca="1">IFERROR(__xludf.DUMMYFUNCTION("""COMPUTED_VALUE"""),280)</f>
        <v>280</v>
      </c>
      <c r="I11" s="48">
        <f ca="1">IFERROR(__xludf.DUMMYFUNCTION("""COMPUTED_VALUE"""),0)</f>
        <v>0</v>
      </c>
      <c r="J11" s="48">
        <f ca="1">IFERROR(__xludf.DUMMYFUNCTION("""COMPUTED_VALUE"""),174)</f>
        <v>174</v>
      </c>
      <c r="K11" s="48">
        <f ca="1">IFERROR(__xludf.DUMMYFUNCTION("""COMPUTED_VALUE"""),174)</f>
        <v>174</v>
      </c>
      <c r="L11" s="48">
        <f ca="1">IFERROR(__xludf.DUMMYFUNCTION("""COMPUTED_VALUE"""),174)</f>
        <v>174</v>
      </c>
      <c r="M11" s="48">
        <f ca="1">IFERROR(__xludf.DUMMYFUNCTION("""COMPUTED_VALUE"""),192)</f>
        <v>192</v>
      </c>
      <c r="N11" s="48">
        <f ca="1">IFERROR(__xludf.DUMMYFUNCTION("""COMPUTED_VALUE"""),280)</f>
        <v>280</v>
      </c>
      <c r="O11" s="48">
        <f ca="1">IFERROR(__xludf.DUMMYFUNCTION("""COMPUTED_VALUE"""),282)</f>
        <v>282</v>
      </c>
      <c r="P11" s="48">
        <f ca="1">IFERROR(__xludf.DUMMYFUNCTION("""COMPUTED_VALUE"""),282)</f>
        <v>282</v>
      </c>
      <c r="Q11" s="48">
        <f ca="1">IFERROR(__xludf.DUMMYFUNCTION("""COMPUTED_VALUE"""),348)</f>
        <v>348</v>
      </c>
      <c r="R11" s="48">
        <f ca="1">IFERROR(__xludf.DUMMYFUNCTION("""COMPUTED_VALUE"""),380)</f>
        <v>380</v>
      </c>
      <c r="S11" s="48">
        <f ca="1">IFERROR(__xludf.DUMMYFUNCTION("""COMPUTED_VALUE"""),2758)</f>
        <v>2758</v>
      </c>
    </row>
    <row r="12" spans="1:19">
      <c r="A12" s="46" t="str">
        <f ca="1">IFERROR(__xludf.DUMMYFUNCTION("""COMPUTED_VALUE"""),"CLASES GIMNACIO MUNICIPAL")</f>
        <v>CLASES GIMNACIO MUNICIPAL</v>
      </c>
      <c r="B12" s="46">
        <f ca="1">IFERROR(__xludf.DUMMYFUNCTION("""COMPUTED_VALUE"""),864)</f>
        <v>864</v>
      </c>
      <c r="C12" s="46" t="str">
        <f ca="1">IFERROR(__xludf.DUMMYFUNCTION("""COMPUTED_VALUE"""),"CLASES")</f>
        <v>CLASES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IFERROR(__xludf.DUMMYFUNCTION("""COMPUTED_VALUE"""),63.0787037037037)</f>
        <v>63.078703703703702</v>
      </c>
      <c r="G12" s="48">
        <f ca="1">IFERROR(__xludf.DUMMYFUNCTION("""COMPUTED_VALUE"""),24)</f>
        <v>24</v>
      </c>
      <c r="H12" s="48">
        <f ca="1">IFERROR(__xludf.DUMMYFUNCTION("""COMPUTED_VALUE"""),40)</f>
        <v>40</v>
      </c>
      <c r="I12" s="48">
        <f ca="1">IFERROR(__xludf.DUMMYFUNCTION("""COMPUTED_VALUE"""),41)</f>
        <v>41</v>
      </c>
      <c r="J12" s="48">
        <f ca="1">IFERROR(__xludf.DUMMYFUNCTION("""COMPUTED_VALUE"""),72)</f>
        <v>72</v>
      </c>
      <c r="K12" s="48">
        <f ca="1">IFERROR(__xludf.DUMMYFUNCTION("""COMPUTED_VALUE"""),72)</f>
        <v>72</v>
      </c>
      <c r="L12" s="48">
        <f ca="1">IFERROR(__xludf.DUMMYFUNCTION("""COMPUTED_VALUE"""),72)</f>
        <v>72</v>
      </c>
      <c r="M12" s="48">
        <f ca="1">IFERROR(__xludf.DUMMYFUNCTION("""COMPUTED_VALUE"""),24)</f>
        <v>24</v>
      </c>
      <c r="N12" s="48">
        <f ca="1">IFERROR(__xludf.DUMMYFUNCTION("""COMPUTED_VALUE"""),40)</f>
        <v>40</v>
      </c>
      <c r="O12" s="48">
        <f ca="1">IFERROR(__xludf.DUMMYFUNCTION("""COMPUTED_VALUE"""),40)</f>
        <v>40</v>
      </c>
      <c r="P12" s="48">
        <f ca="1">IFERROR(__xludf.DUMMYFUNCTION("""COMPUTED_VALUE"""),40)</f>
        <v>40</v>
      </c>
      <c r="Q12" s="48">
        <f ca="1">IFERROR(__xludf.DUMMYFUNCTION("""COMPUTED_VALUE"""),42)</f>
        <v>42</v>
      </c>
      <c r="R12" s="48">
        <f ca="1">IFERROR(__xludf.DUMMYFUNCTION("""COMPUTED_VALUE"""),38)</f>
        <v>38</v>
      </c>
      <c r="S12" s="48">
        <f ca="1">IFERROR(__xludf.DUMMYFUNCTION("""COMPUTED_VALUE"""),545)</f>
        <v>545</v>
      </c>
    </row>
    <row r="13" spans="1:19">
      <c r="A13" s="46" t="str">
        <f ca="1">IFERROR(__xludf.DUMMYFUNCTION("""COMPUTED_VALUE"""),"EVENTOS REALIZADOS")</f>
        <v>EVENTOS REALIZADOS</v>
      </c>
      <c r="B13" s="46">
        <f ca="1">IFERROR(__xludf.DUMMYFUNCTION("""COMPUTED_VALUE"""),48)</f>
        <v>48</v>
      </c>
      <c r="C13" s="46" t="str">
        <f ca="1">IFERROR(__xludf.DUMMYFUNCTION("""COMPUTED_VALUE"""),"CLASES")</f>
        <v>CLASES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IFERROR(__xludf.DUMMYFUNCTION("""COMPUTED_VALUE"""),29222.9166666666)</f>
        <v>29222.916666666599</v>
      </c>
      <c r="G13" s="48">
        <f ca="1">IFERROR(__xludf.DUMMYFUNCTION("""COMPUTED_VALUE"""),1513)</f>
        <v>1513</v>
      </c>
      <c r="H13" s="48">
        <f ca="1">IFERROR(__xludf.DUMMYFUNCTION("""COMPUTED_VALUE"""),0)</f>
        <v>0</v>
      </c>
      <c r="I13" s="48">
        <f ca="1">IFERROR(__xludf.DUMMYFUNCTION("""COMPUTED_VALUE"""),2051)</f>
        <v>2051</v>
      </c>
      <c r="J13" s="48">
        <f ca="1">IFERROR(__xludf.DUMMYFUNCTION("""COMPUTED_VALUE"""),1733)</f>
        <v>1733</v>
      </c>
      <c r="K13" s="48">
        <f ca="1">IFERROR(__xludf.DUMMYFUNCTION("""COMPUTED_VALUE"""),1323)</f>
        <v>1323</v>
      </c>
      <c r="L13" s="48">
        <f ca="1">IFERROR(__xludf.DUMMYFUNCTION("""COMPUTED_VALUE"""),5)</f>
        <v>5</v>
      </c>
      <c r="M13" s="48">
        <f ca="1">IFERROR(__xludf.DUMMYFUNCTION("""COMPUTED_VALUE"""),1513)</f>
        <v>1513</v>
      </c>
      <c r="N13" s="48">
        <f ca="1">IFERROR(__xludf.DUMMYFUNCTION("""COMPUTED_VALUE"""),1869)</f>
        <v>1869</v>
      </c>
      <c r="O13" s="48">
        <f ca="1">IFERROR(__xludf.DUMMYFUNCTION("""COMPUTED_VALUE"""),2051)</f>
        <v>2051</v>
      </c>
      <c r="P13" s="48">
        <f ca="1">IFERROR(__xludf.DUMMYFUNCTION("""COMPUTED_VALUE"""),940)</f>
        <v>940</v>
      </c>
      <c r="Q13" s="48">
        <f ca="1">IFERROR(__xludf.DUMMYFUNCTION("""COMPUTED_VALUE"""),1029)</f>
        <v>1029</v>
      </c>
      <c r="R13" s="48">
        <f ca="1">IFERROR(__xludf.DUMMYFUNCTION("""COMPUTED_VALUE"""),0)</f>
        <v>0</v>
      </c>
      <c r="S13" s="48">
        <f ca="1">IFERROR(__xludf.DUMMYFUNCTION("""COMPUTED_VALUE"""),14027)</f>
        <v>14027</v>
      </c>
    </row>
    <row r="14" spans="1:19">
      <c r="A14" s="46" t="str">
        <f ca="1">IFERROR(__xludf.DUMMYFUNCTION("""COMPUTED_VALUE"""),"TOTAL DE PERSONAS BENEFICIADAS")</f>
        <v>TOTAL DE PERSONAS BENEFICIADAS</v>
      </c>
      <c r="B14" s="46">
        <f ca="1">IFERROR(__xludf.DUMMYFUNCTION("""COMPUTED_VALUE"""),16732)</f>
        <v>16732</v>
      </c>
      <c r="C14" s="46" t="str">
        <f ca="1">IFERROR(__xludf.DUMMYFUNCTION("""COMPUTED_VALUE"""),"PERSONAS")</f>
        <v>PERSONAS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IFERROR(__xludf.DUMMYFUNCTION("""COMPUTED_VALUE"""),0.113554864929476)</f>
        <v>0.113554864929476</v>
      </c>
      <c r="G14" s="48">
        <f ca="1">IFERROR(__xludf.DUMMYFUNCTION("""COMPUTED_VALUE"""),2)</f>
        <v>2</v>
      </c>
      <c r="H14" s="48">
        <f ca="1">IFERROR(__xludf.DUMMYFUNCTION("""COMPUTED_VALUE"""),1)</f>
        <v>1</v>
      </c>
      <c r="I14" s="48">
        <f ca="1">IFERROR(__xludf.DUMMYFUNCTION("""COMPUTED_VALUE"""),1)</f>
        <v>1</v>
      </c>
      <c r="J14" s="48">
        <f ca="1">IFERROR(__xludf.DUMMYFUNCTION("""COMPUTED_VALUE"""),2)</f>
        <v>2</v>
      </c>
      <c r="K14" s="48">
        <f ca="1">IFERROR(__xludf.DUMMYFUNCTION("""COMPUTED_VALUE"""),3)</f>
        <v>3</v>
      </c>
      <c r="L14" s="48">
        <f ca="1">IFERROR(__xludf.DUMMYFUNCTION("""COMPUTED_VALUE"""),2)</f>
        <v>2</v>
      </c>
      <c r="M14" s="48">
        <f ca="1">IFERROR(__xludf.DUMMYFUNCTION("""COMPUTED_VALUE"""),2)</f>
        <v>2</v>
      </c>
      <c r="N14" s="48">
        <f ca="1">IFERROR(__xludf.DUMMYFUNCTION("""COMPUTED_VALUE"""),2)</f>
        <v>2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IFERROR(__xludf.DUMMYFUNCTION("""COMPUTED_VALUE"""),2)</f>
        <v>2</v>
      </c>
      <c r="R14" s="48">
        <f ca="1">IFERROR(__xludf.DUMMYFUNCTION("""COMPUTED_VALUE"""),2)</f>
        <v>2</v>
      </c>
      <c r="S14" s="48">
        <f ca="1">IFERROR(__xludf.DUMMYFUNCTION("""COMPUTED_VALUE"""),19)</f>
        <v>19</v>
      </c>
    </row>
    <row r="15" spans="1:19">
      <c r="A15" s="46" t="str">
        <f ca="1">IFERROR(__xludf.DUMMYFUNCTION("""COMPUTED_VALUE"""),"PROGRAMAS IMPLEMENTADOS")</f>
        <v>PROGRAMAS IMPLEMENTADOS</v>
      </c>
      <c r="B15" s="46">
        <f ca="1">IFERROR(__xludf.DUMMYFUNCTION("""COMPUTED_VALUE"""),28)</f>
        <v>28</v>
      </c>
      <c r="C15" s="46" t="str">
        <f ca="1">IFERROR(__xludf.DUMMYFUNCTION("""COMPUTED_VALUE"""),"PROGRAMAS")</f>
        <v>PROGRAMAS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IFERROR(__xludf.DUMMYFUNCTION("""COMPUTED_VALUE"""),11250)</f>
        <v>11250</v>
      </c>
      <c r="G15" s="48">
        <f ca="1">IFERROR(__xludf.DUMMYFUNCTION("""COMPUTED_VALUE"""),450)</f>
        <v>450</v>
      </c>
      <c r="H15" s="48">
        <f ca="1">IFERROR(__xludf.DUMMYFUNCTION("""COMPUTED_VALUE"""),50)</f>
        <v>50</v>
      </c>
      <c r="I15" s="48">
        <f ca="1">IFERROR(__xludf.DUMMYFUNCTION("""COMPUTED_VALUE"""),450)</f>
        <v>450</v>
      </c>
      <c r="J15" s="48">
        <f ca="1">IFERROR(__xludf.DUMMYFUNCTION("""COMPUTED_VALUE"""),300)</f>
        <v>300</v>
      </c>
      <c r="K15" s="48">
        <f ca="1">IFERROR(__xludf.DUMMYFUNCTION("""COMPUTED_VALUE"""),500)</f>
        <v>500</v>
      </c>
      <c r="L15" s="48">
        <f ca="1">IFERROR(__xludf.DUMMYFUNCTION("""COMPUTED_VALUE"""),50)</f>
        <v>50</v>
      </c>
      <c r="M15" s="48">
        <f ca="1">IFERROR(__xludf.DUMMYFUNCTION("""COMPUTED_VALUE"""),450)</f>
        <v>450</v>
      </c>
      <c r="N15" s="48">
        <f ca="1">IFERROR(__xludf.DUMMYFUNCTION("""COMPUTED_VALUE"""),450)</f>
        <v>450</v>
      </c>
      <c r="O15" s="48">
        <f ca="1">IFERROR(__xludf.DUMMYFUNCTION("""COMPUTED_VALUE"""),450)</f>
        <v>450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IFERROR(__xludf.DUMMYFUNCTION("""COMPUTED_VALUE"""),3150)</f>
        <v>3150</v>
      </c>
    </row>
    <row r="16" spans="1:19">
      <c r="A16" s="46" t="str">
        <f ca="1">IFERROR(__xludf.DUMMYFUNCTION("""COMPUTED_VALUE"""),"PERSONAS BENEFICIADAS")</f>
        <v>PERSONAS BENEFICIADAS</v>
      </c>
      <c r="B16" s="46">
        <f ca="1">IFERROR(__xludf.DUMMYFUNCTION("""COMPUTED_VALUE"""),3400)</f>
        <v>3400</v>
      </c>
      <c r="C16" s="46" t="str">
        <f ca="1">IFERROR(__xludf.DUMMYFUNCTION("""COMPUTED_VALUE"""),"PERSONAS")</f>
        <v>PERSONAS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IFERROR(__xludf.DUMMYFUNCTION("""COMPUTED_VALUE"""),0.617647058823529)</f>
        <v>0.61764705882352899</v>
      </c>
      <c r="G16" s="48">
        <f ca="1">IFERROR(__xludf.DUMMYFUNCTION("""COMPUTED_VALUE"""),1)</f>
        <v>1</v>
      </c>
      <c r="H16" s="48">
        <f ca="1">IFERROR(__xludf.DUMMYFUNCTION("""COMPUTED_VALUE"""),2)</f>
        <v>2</v>
      </c>
      <c r="I16" s="48">
        <f ca="1">IFERROR(__xludf.DUMMYFUNCTION("""COMPUTED_VALUE"""),3)</f>
        <v>3</v>
      </c>
      <c r="J16" s="48">
        <f ca="1">IFERROR(__xludf.DUMMYFUNCTION("""COMPUTED_VALUE"""),2)</f>
        <v>2</v>
      </c>
      <c r="K16" s="48">
        <f ca="1">IFERROR(__xludf.DUMMYFUNCTION("""COMPUTED_VALUE"""),3)</f>
        <v>3</v>
      </c>
      <c r="L16" s="48">
        <f ca="1">IFERROR(__xludf.DUMMYFUNCTION("""COMPUTED_VALUE"""),3)</f>
        <v>3</v>
      </c>
      <c r="M16" s="48">
        <f ca="1">IFERROR(__xludf.DUMMYFUNCTION("""COMPUTED_VALUE"""),1)</f>
        <v>1</v>
      </c>
      <c r="N16" s="48">
        <f ca="1">IFERROR(__xludf.DUMMYFUNCTION("""COMPUTED_VALUE"""),2)</f>
        <v>2</v>
      </c>
      <c r="O16" s="48">
        <f ca="1">IFERROR(__xludf.DUMMYFUNCTION("""COMPUTED_VALUE"""),3)</f>
        <v>3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IFERROR(__xludf.DUMMYFUNCTION("""COMPUTED_VALUE"""),1)</f>
        <v>1</v>
      </c>
      <c r="S16" s="48">
        <f ca="1">IFERROR(__xludf.DUMMYFUNCTION("""COMPUTED_VALUE"""),21)</f>
        <v>21</v>
      </c>
    </row>
    <row r="17" spans="1:19">
      <c r="A17" s="46" t="str">
        <f ca="1">IFERROR(__xludf.DUMMYFUNCTION("""COMPUTED_VALUE"""),"PROGRAMAS IMPLEMENTADOS")</f>
        <v>PROGRAMAS IMPLEMENTADOS</v>
      </c>
      <c r="B17" s="46">
        <f ca="1">IFERROR(__xludf.DUMMYFUNCTION("""COMPUTED_VALUE"""),32)</f>
        <v>32</v>
      </c>
      <c r="C17" s="46" t="str">
        <f ca="1">IFERROR(__xludf.DUMMYFUNCTION("""COMPUTED_VALUE"""),"PROGRAMAS")</f>
        <v>PROGRAMAS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IFERROR(__xludf.DUMMYFUNCTION("""COMPUTED_VALUE"""),62.5)</f>
        <v>62.5</v>
      </c>
      <c r="G17" s="48">
        <f ca="1">IFERROR(__xludf.DUMMYFUNCTION("""COMPUTED_VALUE"""),2)</f>
        <v>2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IFERROR(__xludf.DUMMYFUNCTION("""COMPUTED_VALUE"""),5)</f>
        <v>5</v>
      </c>
      <c r="K17" s="48">
        <f ca="1">IFERROR(__xludf.DUMMYFUNCTION("""COMPUTED_VALUE"""),3)</f>
        <v>3</v>
      </c>
      <c r="L17" s="48">
        <f ca="1">IFERROR(__xludf.DUMMYFUNCTION("""COMPUTED_VALUE"""),4)</f>
        <v>4</v>
      </c>
      <c r="M17" s="48">
        <f ca="1">IFERROR(__xludf.DUMMYFUNCTION("""COMPUTED_VALUE"""),2)</f>
        <v>2</v>
      </c>
      <c r="N17" s="48">
        <f ca="1">IFERROR(__xludf.DUMMYFUNCTION("""COMPUTED_VALUE"""),0)</f>
        <v>0</v>
      </c>
      <c r="O17" s="48">
        <f ca="1">IFERROR(__xludf.DUMMYFUNCTION("""COMPUTED_VALUE"""),2)</f>
        <v>2</v>
      </c>
      <c r="P17" s="48">
        <f ca="1">IFERROR(__xludf.DUMMYFUNCTION("""COMPUTED_VALUE"""),1)</f>
        <v>1</v>
      </c>
      <c r="Q17" s="48">
        <f ca="1">IFERROR(__xludf.DUMMYFUNCTION("""COMPUTED_VALUE"""),1)</f>
        <v>1</v>
      </c>
      <c r="R17" s="48">
        <f ca="1">IFERROR(__xludf.DUMMYFUNCTION("""COMPUTED_VALUE"""),0)</f>
        <v>0</v>
      </c>
      <c r="S17" s="48">
        <f ca="1">IFERROR(__xludf.DUMMYFUNCTION("""COMPUTED_VALUE"""),20)</f>
        <v>20</v>
      </c>
    </row>
    <row r="18" spans="1:19">
      <c r="A18" s="46" t="str">
        <f ca="1">IFERROR(__xludf.DUMMYFUNCTION("""COMPUTED_VALUE"""),"ESCUELAS BENEFICIADAS")</f>
        <v>ESCUELAS BENEFICIADAS</v>
      </c>
      <c r="B18" s="46">
        <f ca="1">IFERROR(__xludf.DUMMYFUNCTION("""COMPUTED_VALUE"""),92)</f>
        <v>92</v>
      </c>
      <c r="C18" s="46" t="str">
        <f ca="1">IFERROR(__xludf.DUMMYFUNCTION("""COMPUTED_VALUE"""),"ESCUELAS")</f>
        <v>ESCUELAS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IFERROR(__xludf.DUMMYFUNCTION("""COMPUTED_VALUE"""),4178.26086956521)</f>
        <v>4178.2608695652098</v>
      </c>
      <c r="G18" s="48">
        <f ca="1">IFERROR(__xludf.DUMMYFUNCTION("""COMPUTED_VALUE"""),662)</f>
        <v>662</v>
      </c>
      <c r="H18" s="48">
        <f ca="1">IFERROR(__xludf.DUMMYFUNCTION("""COMPUTED_VALUE"""),92)</f>
        <v>92</v>
      </c>
      <c r="I18" s="48">
        <f ca="1">IFERROR(__xludf.DUMMYFUNCTION("""COMPUTED_VALUE"""),0)</f>
        <v>0</v>
      </c>
      <c r="J18" s="48">
        <f ca="1">IFERROR(__xludf.DUMMYFUNCTION("""COMPUTED_VALUE"""),171)</f>
        <v>171</v>
      </c>
      <c r="K18" s="48">
        <f ca="1">IFERROR(__xludf.DUMMYFUNCTION("""COMPUTED_VALUE"""),167)</f>
        <v>167</v>
      </c>
      <c r="L18" s="48">
        <f ca="1">IFERROR(__xludf.DUMMYFUNCTION("""COMPUTED_VALUE"""),386)</f>
        <v>386</v>
      </c>
      <c r="M18" s="48">
        <f ca="1">IFERROR(__xludf.DUMMYFUNCTION("""COMPUTED_VALUE"""),662)</f>
        <v>662</v>
      </c>
      <c r="N18" s="48">
        <f ca="1">IFERROR(__xludf.DUMMYFUNCTION("""COMPUTED_VALUE"""),92)</f>
        <v>92</v>
      </c>
      <c r="O18" s="48">
        <f ca="1">IFERROR(__xludf.DUMMYFUNCTION("""COMPUTED_VALUE"""),221)</f>
        <v>221</v>
      </c>
      <c r="P18" s="48">
        <f ca="1">IFERROR(__xludf.DUMMYFUNCTION("""COMPUTED_VALUE"""),269)</f>
        <v>269</v>
      </c>
      <c r="Q18" s="48">
        <f ca="1">IFERROR(__xludf.DUMMYFUNCTION("""COMPUTED_VALUE"""),381)</f>
        <v>381</v>
      </c>
      <c r="R18" s="48">
        <f ca="1">IFERROR(__xludf.DUMMYFUNCTION("""COMPUTED_VALUE"""),741)</f>
        <v>741</v>
      </c>
      <c r="S18" s="48">
        <f ca="1">IFERROR(__xludf.DUMMYFUNCTION("""COMPUTED_VALUE"""),3844)</f>
        <v>3844</v>
      </c>
    </row>
    <row r="19" spans="1:19">
      <c r="A19" s="46" t="str">
        <f ca="1">IFERROR(__xludf.DUMMYFUNCTION("""COMPUTED_VALUE"""),"PERSONAS BENEFICIADAS")</f>
        <v>PERSONAS BENEFICIADAS</v>
      </c>
      <c r="B19" s="46">
        <f ca="1">IFERROR(__xludf.DUMMYFUNCTION("""COMPUTED_VALUE"""),48)</f>
        <v>48</v>
      </c>
      <c r="C19" s="46" t="str">
        <f ca="1">IFERROR(__xludf.DUMMYFUNCTION("""COMPUTED_VALUE"""),"PERSONAS")</f>
        <v>PERSONAS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IFERROR(__xludf.DUMMYFUNCTION("""COMPUTED_VALUE"""),29.1666666666666)</f>
        <v>29.1666666666666</v>
      </c>
      <c r="G19" s="48">
        <f ca="1">IFERROR(__xludf.DUMMYFUNCTION("""COMPUTED_VALUE"""),0)</f>
        <v>0</v>
      </c>
      <c r="H19" s="48">
        <f ca="1">IFERROR(__xludf.DUMMYFUNCTION("""COMPUTED_VALUE"""),2)</f>
        <v>2</v>
      </c>
      <c r="I19" s="48">
        <f ca="1">IFERROR(__xludf.DUMMYFUNCTION("""COMPUTED_VALUE"""),1)</f>
        <v>1</v>
      </c>
      <c r="J19" s="48">
        <f ca="1">IFERROR(__xludf.DUMMYFUNCTION("""COMPUTED_VALUE"""),2)</f>
        <v>2</v>
      </c>
      <c r="K19" s="48">
        <f ca="1">IFERROR(__xludf.DUMMYFUNCTION("""COMPUTED_VALUE"""),4)</f>
        <v>4</v>
      </c>
      <c r="L19" s="48">
        <f ca="1">IFERROR(__xludf.DUMMYFUNCTION("""COMPUTED_VALUE"""),2)</f>
        <v>2</v>
      </c>
      <c r="M19" s="48">
        <f ca="1">IFERROR(__xludf.DUMMYFUNCTION("""COMPUTED_VALUE"""),1)</f>
        <v>1</v>
      </c>
      <c r="N19" s="48">
        <f ca="1">IFERROR(__xludf.DUMMYFUNCTION("""COMPUTED_VALUE"""),2)</f>
        <v>2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IFERROR(__xludf.DUMMYFUNCTION("""COMPUTED_VALUE"""),14)</f>
        <v>14</v>
      </c>
    </row>
    <row r="20" spans="1:19">
      <c r="A20" s="46" t="str">
        <f ca="1">IFERROR(__xludf.DUMMYFUNCTION("""COMPUTED_VALUE"""),"PROGRAMAS IMPLEMENTADOS")</f>
        <v>PROGRAMAS IMPLEMENTADOS</v>
      </c>
      <c r="B20" s="46">
        <f ca="1">IFERROR(__xludf.DUMMYFUNCTION("""COMPUTED_VALUE"""),2908)</f>
        <v>2908</v>
      </c>
      <c r="C20" s="46" t="str">
        <f ca="1">IFERROR(__xludf.DUMMYFUNCTION("""COMPUTED_VALUE"""),"PROGRAMAS")</f>
        <v>PROGRAMAS</v>
      </c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IFERROR(__xludf.DUMMYFUNCTION("""COMPUTED_VALUE"""),132.187070151306)</f>
        <v>132.18707015130599</v>
      </c>
      <c r="G20" s="48">
        <f ca="1">IFERROR(__xludf.DUMMYFUNCTION("""COMPUTED_VALUE"""),662)</f>
        <v>662</v>
      </c>
      <c r="H20" s="48">
        <f ca="1">IFERROR(__xludf.DUMMYFUNCTION("""COMPUTED_VALUE"""),92)</f>
        <v>92</v>
      </c>
      <c r="I20" s="48">
        <f ca="1">IFERROR(__xludf.DUMMYFUNCTION("""COMPUTED_VALUE"""),0)</f>
        <v>0</v>
      </c>
      <c r="J20" s="48">
        <f ca="1">IFERROR(__xludf.DUMMYFUNCTION("""COMPUTED_VALUE"""),171)</f>
        <v>171</v>
      </c>
      <c r="K20" s="48">
        <f ca="1">IFERROR(__xludf.DUMMYFUNCTION("""COMPUTED_VALUE"""),167)</f>
        <v>167</v>
      </c>
      <c r="L20" s="48">
        <f ca="1">IFERROR(__xludf.DUMMYFUNCTION("""COMPUTED_VALUE"""),386)</f>
        <v>386</v>
      </c>
      <c r="M20" s="48">
        <f ca="1">IFERROR(__xludf.DUMMYFUNCTION("""COMPUTED_VALUE"""),662)</f>
        <v>662</v>
      </c>
      <c r="N20" s="48">
        <f ca="1">IFERROR(__xludf.DUMMYFUNCTION("""COMPUTED_VALUE"""),92)</f>
        <v>92</v>
      </c>
      <c r="O20" s="48">
        <f ca="1">IFERROR(__xludf.DUMMYFUNCTION("""COMPUTED_VALUE"""),221)</f>
        <v>221</v>
      </c>
      <c r="P20" s="48">
        <f ca="1">IFERROR(__xludf.DUMMYFUNCTION("""COMPUTED_VALUE"""),269)</f>
        <v>269</v>
      </c>
      <c r="Q20" s="48">
        <f ca="1">IFERROR(__xludf.DUMMYFUNCTION("""COMPUTED_VALUE"""),381)</f>
        <v>381</v>
      </c>
      <c r="R20" s="48">
        <f ca="1">IFERROR(__xludf.DUMMYFUNCTION("""COMPUTED_VALUE"""),741)</f>
        <v>741</v>
      </c>
      <c r="S20" s="48">
        <f ca="1">IFERROR(__xludf.DUMMYFUNCTION("""COMPUTED_VALUE"""),3844)</f>
        <v>3844</v>
      </c>
    </row>
    <row r="21" spans="1:19">
      <c r="A21" s="46" t="str">
        <f ca="1">IFERROR(__xludf.DUMMYFUNCTION("""COMPUTED_VALUE"""),"PROGRAMAS IMPLEMENTADOS")</f>
        <v>PROGRAMAS IMPLEMENTADOS</v>
      </c>
      <c r="B21" s="46">
        <f ca="1">IFERROR(__xludf.DUMMYFUNCTION("""COMPUTED_VALUE"""),1)</f>
        <v>1</v>
      </c>
      <c r="C21" s="46" t="str">
        <f ca="1">IFERROR(__xludf.DUMMYFUNCTION("""COMPUTED_VALUE"""),"PROGRAMAS")</f>
        <v>PROGRAMAS</v>
      </c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IFERROR(__xludf.DUMMYFUNCTION("""COMPUTED_VALUE"""),1400)</f>
        <v>1400</v>
      </c>
      <c r="G21" s="48">
        <f ca="1">IFERROR(__xludf.DUMMYFUNCTION("""COMPUTED_VALUE"""),0)</f>
        <v>0</v>
      </c>
      <c r="H21" s="48">
        <f ca="1">IFERROR(__xludf.DUMMYFUNCTION("""COMPUTED_VALUE"""),2)</f>
        <v>2</v>
      </c>
      <c r="I21" s="48">
        <f ca="1">IFERROR(__xludf.DUMMYFUNCTION("""COMPUTED_VALUE"""),1)</f>
        <v>1</v>
      </c>
      <c r="J21" s="48">
        <f ca="1">IFERROR(__xludf.DUMMYFUNCTION("""COMPUTED_VALUE"""),2)</f>
        <v>2</v>
      </c>
      <c r="K21" s="48">
        <f ca="1">IFERROR(__xludf.DUMMYFUNCTION("""COMPUTED_VALUE"""),4)</f>
        <v>4</v>
      </c>
      <c r="L21" s="48">
        <f ca="1">IFERROR(__xludf.DUMMYFUNCTION("""COMPUTED_VALUE"""),2)</f>
        <v>2</v>
      </c>
      <c r="M21" s="48">
        <f ca="1">IFERROR(__xludf.DUMMYFUNCTION("""COMPUTED_VALUE"""),1)</f>
        <v>1</v>
      </c>
      <c r="N21" s="48">
        <f ca="1">IFERROR(__xludf.DUMMYFUNCTION("""COMPUTED_VALUE"""),2)</f>
        <v>2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IFERROR(__xludf.DUMMYFUNCTION("""COMPUTED_VALUE"""),14)</f>
        <v>14</v>
      </c>
    </row>
    <row r="22" spans="1:19">
      <c r="A22" s="46" t="str">
        <f ca="1">IFERROR(__xludf.DUMMYFUNCTION("""COMPUTED_VALUE"""),"PERSONAS BENEFICIADAS")</f>
        <v>PERSONAS BENEFICIADAS</v>
      </c>
      <c r="B22" s="46">
        <f ca="1">IFERROR(__xludf.DUMMYFUNCTION("""COMPUTED_VALUE"""),1)</f>
        <v>1</v>
      </c>
      <c r="C22" s="46" t="str">
        <f ca="1">IFERROR(__xludf.DUMMYFUNCTION("""COMPUTED_VALUE"""),"PERSONAS")</f>
        <v>PERSONAS</v>
      </c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IFERROR(__xludf.DUMMYFUNCTION("""COMPUTED_VALUE"""),99000)</f>
        <v>99000</v>
      </c>
      <c r="G22" s="48">
        <f ca="1">IFERROR(__xludf.DUMMYFUNCTION("""COMPUTED_VALUE"""),0)</f>
        <v>0</v>
      </c>
      <c r="H22" s="48">
        <f ca="1">IFERROR(__xludf.DUMMYFUNCTION("""COMPUTED_VALUE"""),208)</f>
        <v>208</v>
      </c>
      <c r="I22" s="48">
        <f ca="1">IFERROR(__xludf.DUMMYFUNCTION("""COMPUTED_VALUE"""),22)</f>
        <v>22</v>
      </c>
      <c r="J22" s="48">
        <f ca="1">IFERROR(__xludf.DUMMYFUNCTION("""COMPUTED_VALUE"""),100)</f>
        <v>100</v>
      </c>
      <c r="K22" s="48">
        <f ca="1">IFERROR(__xludf.DUMMYFUNCTION("""COMPUTED_VALUE"""),300)</f>
        <v>300</v>
      </c>
      <c r="L22" s="48">
        <f ca="1">IFERROR(__xludf.DUMMYFUNCTION("""COMPUTED_VALUE"""),50)</f>
        <v>50</v>
      </c>
      <c r="M22" s="48">
        <f ca="1">IFERROR(__xludf.DUMMYFUNCTION("""COMPUTED_VALUE"""),22)</f>
        <v>22</v>
      </c>
      <c r="N22" s="48">
        <f ca="1">IFERROR(__xludf.DUMMYFUNCTION("""COMPUTED_VALUE"""),208)</f>
        <v>208</v>
      </c>
      <c r="O22" s="48">
        <f ca="1">IFERROR(__xludf.DUMMYFUNCTION("""COMPUTED_VALUE"""),0)</f>
        <v>0</v>
      </c>
      <c r="P22" s="48">
        <f ca="1">IFERROR(__xludf.DUMMYFUNCTION("""COMPUTED_VALUE"""),15)</f>
        <v>15</v>
      </c>
      <c r="Q22" s="48">
        <f ca="1">IFERROR(__xludf.DUMMYFUNCTION("""COMPUTED_VALUE"""),10)</f>
        <v>10</v>
      </c>
      <c r="R22" s="48">
        <f ca="1">IFERROR(__xludf.DUMMYFUNCTION("""COMPUTED_VALUE"""),55)</f>
        <v>55</v>
      </c>
      <c r="S22" s="48">
        <f ca="1">IFERROR(__xludf.DUMMYFUNCTION("""COMPUTED_VALUE"""),990)</f>
        <v>990</v>
      </c>
    </row>
    <row r="23" spans="1:19">
      <c r="A23" s="46" t="str">
        <f ca="1">IFERROR(__xludf.DUMMYFUNCTION("""COMPUTED_VALUE"""),"EVENTOS REALIZADOS ")</f>
        <v xml:space="preserve">EVENTOS REALIZADOS </v>
      </c>
      <c r="B23" s="46">
        <f ca="1">IFERROR(__xludf.DUMMYFUNCTION("""COMPUTED_VALUE"""),28)</f>
        <v>28</v>
      </c>
      <c r="C23" s="46" t="str">
        <f ca="1">IFERROR(__xludf.DUMMYFUNCTION("""COMPUTED_VALUE"""),"EVENTOS")</f>
        <v>EVENTOS</v>
      </c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IFERROR(__xludf.DUMMYFUNCTION("""COMPUTED_VALUE"""),100)</f>
        <v>100</v>
      </c>
      <c r="G23" s="48">
        <f ca="1">IFERROR(__xludf.DUMMYFUNCTION("""COMPUTED_VALUE"""),4)</f>
        <v>4</v>
      </c>
      <c r="H23" s="48">
        <f ca="1">IFERROR(__xludf.DUMMYFUNCTION("""COMPUTED_VALUE"""),3)</f>
        <v>3</v>
      </c>
      <c r="I23" s="48">
        <f ca="1">IFERROR(__xludf.DUMMYFUNCTION("""COMPUTED_VALUE"""),0)</f>
        <v>0</v>
      </c>
      <c r="J23" s="48">
        <f ca="1">IFERROR(__xludf.DUMMYFUNCTION("""COMPUTED_VALUE"""),2)</f>
        <v>2</v>
      </c>
      <c r="K23" s="48">
        <f ca="1">IFERROR(__xludf.DUMMYFUNCTION("""COMPUTED_VALUE"""),1)</f>
        <v>1</v>
      </c>
      <c r="L23" s="48">
        <f ca="1">IFERROR(__xludf.DUMMYFUNCTION("""COMPUTED_VALUE"""),4)</f>
        <v>4</v>
      </c>
      <c r="M23" s="48">
        <f ca="1">IFERROR(__xludf.DUMMYFUNCTION("""COMPUTED_VALUE"""),4)</f>
        <v>4</v>
      </c>
      <c r="N23" s="48">
        <f ca="1">IFERROR(__xludf.DUMMYFUNCTION("""COMPUTED_VALUE"""),3)</f>
        <v>3</v>
      </c>
      <c r="O23" s="48">
        <f ca="1">IFERROR(__xludf.DUMMYFUNCTION("""COMPUTED_VALUE"""),4)</f>
        <v>4</v>
      </c>
      <c r="P23" s="48">
        <f ca="1">IFERROR(__xludf.DUMMYFUNCTION("""COMPUTED_VALUE"""),1)</f>
        <v>1</v>
      </c>
      <c r="Q23" s="48">
        <f ca="1">IFERROR(__xludf.DUMMYFUNCTION("""COMPUTED_VALUE"""),1)</f>
        <v>1</v>
      </c>
      <c r="R23" s="48">
        <f ca="1">IFERROR(__xludf.DUMMYFUNCTION("""COMPUTED_VALUE"""),1)</f>
        <v>1</v>
      </c>
      <c r="S23" s="48">
        <f ca="1">IFERROR(__xludf.DUMMYFUNCTION("""COMPUTED_VALUE"""),28)</f>
        <v>28</v>
      </c>
    </row>
    <row r="24" spans="1:19">
      <c r="A24" s="46" t="str">
        <f ca="1">IFERROR(__xludf.DUMMYFUNCTION("""COMPUTED_VALUE"""),"PERSONAS BENEFICIADAS")</f>
        <v>PERSONAS BENEFICIADAS</v>
      </c>
      <c r="B24" s="46">
        <f ca="1">IFERROR(__xludf.DUMMYFUNCTION("""COMPUTED_VALUE"""),4040)</f>
        <v>4040</v>
      </c>
      <c r="C24" s="46" t="str">
        <f ca="1">IFERROR(__xludf.DUMMYFUNCTION("""COMPUTED_VALUE"""),"PERSONAS")</f>
        <v>PERSONAS</v>
      </c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IFERROR(__xludf.DUMMYFUNCTION("""COMPUTED_VALUE"""),68.5643564356435)</f>
        <v>68.564356435643504</v>
      </c>
      <c r="G24" s="48">
        <f ca="1">IFERROR(__xludf.DUMMYFUNCTION("""COMPUTED_VALUE"""),165)</f>
        <v>165</v>
      </c>
      <c r="H24" s="48">
        <f ca="1">IFERROR(__xludf.DUMMYFUNCTION("""COMPUTED_VALUE"""),165)</f>
        <v>165</v>
      </c>
      <c r="I24" s="48">
        <f ca="1">IFERROR(__xludf.DUMMYFUNCTION("""COMPUTED_VALUE"""),360)</f>
        <v>360</v>
      </c>
      <c r="J24" s="48">
        <f ca="1">IFERROR(__xludf.DUMMYFUNCTION("""COMPUTED_VALUE"""),300)</f>
        <v>300</v>
      </c>
      <c r="K24" s="48">
        <f ca="1">IFERROR(__xludf.DUMMYFUNCTION("""COMPUTED_VALUE"""),60)</f>
        <v>60</v>
      </c>
      <c r="L24" s="48">
        <f ca="1">IFERROR(__xludf.DUMMYFUNCTION("""COMPUTED_VALUE"""),650)</f>
        <v>650</v>
      </c>
      <c r="M24" s="48">
        <f ca="1">IFERROR(__xludf.DUMMYFUNCTION("""COMPUTED_VALUE"""),165)</f>
        <v>165</v>
      </c>
      <c r="N24" s="48">
        <f ca="1">IFERROR(__xludf.DUMMYFUNCTION("""COMPUTED_VALUE"""),165)</f>
        <v>165</v>
      </c>
      <c r="O24" s="48">
        <f ca="1">IFERROR(__xludf.DUMMYFUNCTION("""COMPUTED_VALUE"""),360)</f>
        <v>360</v>
      </c>
      <c r="P24" s="48">
        <f ca="1">IFERROR(__xludf.DUMMYFUNCTION("""COMPUTED_VALUE"""),200)</f>
        <v>200</v>
      </c>
      <c r="Q24" s="48">
        <f ca="1">IFERROR(__xludf.DUMMYFUNCTION("""COMPUTED_VALUE"""),100)</f>
        <v>100</v>
      </c>
      <c r="R24" s="48">
        <f ca="1">IFERROR(__xludf.DUMMYFUNCTION("""COMPUTED_VALUE"""),80)</f>
        <v>80</v>
      </c>
      <c r="S24" s="48">
        <f ca="1">IFERROR(__xludf.DUMMYFUNCTION("""COMPUTED_VALUE"""),2770)</f>
        <v>2770</v>
      </c>
    </row>
    <row r="25" spans="1:19">
      <c r="A25" s="46" t="str">
        <f ca="1">IFERROR(__xludf.DUMMYFUNCTION("""COMPUTED_VALUE"""),"M2 REALIZADOS")</f>
        <v>M2 REALIZADOS</v>
      </c>
      <c r="B25" s="46">
        <f ca="1">IFERROR(__xludf.DUMMYFUNCTION("""COMPUTED_VALUE"""),24)</f>
        <v>24</v>
      </c>
      <c r="C25" s="46" t="str">
        <f ca="1">IFERROR(__xludf.DUMMYFUNCTION("""COMPUTED_VALUE"""),"M2")</f>
        <v>M2</v>
      </c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IFERROR(__xludf.DUMMYFUNCTION("""COMPUTED_VALUE"""),556.25)</f>
        <v>556.25</v>
      </c>
      <c r="G25" s="48">
        <f ca="1">IFERROR(__xludf.DUMMYFUNCTION("""COMPUTED_VALUE"""),12.5)</f>
        <v>12.5</v>
      </c>
      <c r="H25" s="48">
        <f ca="1">IFERROR(__xludf.DUMMYFUNCTION("""COMPUTED_VALUE"""),65)</f>
        <v>65</v>
      </c>
      <c r="I25" s="48">
        <f ca="1">IFERROR(__xludf.DUMMYFUNCTION("""COMPUTED_VALUE"""),40)</f>
        <v>40</v>
      </c>
      <c r="J25" s="48">
        <f ca="1">IFERROR(__xludf.DUMMYFUNCTION("""COMPUTED_VALUE"""),2)</f>
        <v>2</v>
      </c>
      <c r="K25" s="48">
        <f ca="1">IFERROR(__xludf.DUMMYFUNCTION("""COMPUTED_VALUE"""),3)</f>
        <v>3</v>
      </c>
      <c r="L25" s="48">
        <f ca="1">IFERROR(__xludf.DUMMYFUNCTION("""COMPUTED_VALUE"""),2)</f>
        <v>2</v>
      </c>
      <c r="M25" s="48">
        <f ca="1">IFERROR(__xludf.DUMMYFUNCTION("""COMPUTED_VALUE"""),2)</f>
        <v>2</v>
      </c>
      <c r="N25" s="48">
        <f ca="1">IFERROR(__xludf.DUMMYFUNCTION("""COMPUTED_VALUE"""),3)</f>
        <v>3</v>
      </c>
      <c r="O25" s="48">
        <f ca="1">IFERROR(__xludf.DUMMYFUNCTION("""COMPUTED_VALUE"""),3)</f>
        <v>3</v>
      </c>
      <c r="P25" s="48">
        <f ca="1">IFERROR(__xludf.DUMMYFUNCTION("""COMPUTED_VALUE"""),1)</f>
        <v>1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IFERROR(__xludf.DUMMYFUNCTION("""COMPUTED_VALUE"""),133.5)</f>
        <v>133.5</v>
      </c>
    </row>
    <row r="26" spans="1:19">
      <c r="A26" s="46" t="str">
        <f ca="1">IFERROR(__xludf.DUMMYFUNCTION("""COMPUTED_VALUE"""),"MURALES TERMINADOS")</f>
        <v>MURALES TERMINADOS</v>
      </c>
      <c r="B26" s="46">
        <f ca="1">IFERROR(__xludf.DUMMYFUNCTION("""COMPUTED_VALUE"""),24)</f>
        <v>24</v>
      </c>
      <c r="C26" s="46" t="str">
        <f ca="1">IFERROR(__xludf.DUMMYFUNCTION("""COMPUTED_VALUE"""),"MURALES")</f>
        <v>MURALES</v>
      </c>
      <c r="D26" s="46" t="str">
        <f ca="1">IFERROR(__xludf.DUMMYFUNCTION("""COMPUTED_VALUE"""),"ASCENDENTE")</f>
        <v>ASCENDENTE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IFERROR(__xludf.DUMMYFUNCTION("""COMPUTED_VALUE"""),66.6666666666666)</f>
        <v>66.6666666666666</v>
      </c>
      <c r="G26" s="48">
        <f ca="1">IFERROR(__xludf.DUMMYFUNCTION("""COMPUTED_VALUE"""),1)</f>
        <v>1</v>
      </c>
      <c r="H26" s="48">
        <f ca="1">IFERROR(__xludf.DUMMYFUNCTION("""COMPUTED_VALUE"""),3)</f>
        <v>3</v>
      </c>
      <c r="I26" s="48">
        <f ca="1">IFERROR(__xludf.DUMMYFUNCTION("""COMPUTED_VALUE"""),0)</f>
        <v>0</v>
      </c>
      <c r="J26" s="48">
        <f ca="1">IFERROR(__xludf.DUMMYFUNCTION("""COMPUTED_VALUE"""),1)</f>
        <v>1</v>
      </c>
      <c r="K26" s="48">
        <f ca="1">IFERROR(__xludf.DUMMYFUNCTION("""COMPUTED_VALUE"""),2)</f>
        <v>2</v>
      </c>
      <c r="L26" s="48">
        <f ca="1">IFERROR(__xludf.DUMMYFUNCTION("""COMPUTED_VALUE"""),2)</f>
        <v>2</v>
      </c>
      <c r="M26" s="48">
        <f ca="1">IFERROR(__xludf.DUMMYFUNCTION("""COMPUTED_VALUE"""),1)</f>
        <v>1</v>
      </c>
      <c r="N26" s="48">
        <f ca="1">IFERROR(__xludf.DUMMYFUNCTION("""COMPUTED_VALUE"""),3)</f>
        <v>3</v>
      </c>
      <c r="O26" s="48">
        <f ca="1">IFERROR(__xludf.DUMMYFUNCTION("""COMPUTED_VALUE"""),2)</f>
        <v>2</v>
      </c>
      <c r="P26" s="48">
        <f ca="1">IFERROR(__xludf.DUMMYFUNCTION("""COMPUTED_VALUE"""),1)</f>
        <v>1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IFERROR(__xludf.DUMMYFUNCTION("""COMPUTED_VALUE"""),16)</f>
        <v>16</v>
      </c>
    </row>
    <row r="27" spans="1:19">
      <c r="A27" s="46" t="str">
        <f ca="1">IFERROR(__xludf.DUMMYFUNCTION("""COMPUTED_VALUE"""),"TALLERES REALIZADOS")</f>
        <v>TALLERES REALIZADOS</v>
      </c>
      <c r="B27" s="46">
        <f ca="1">IFERROR(__xludf.DUMMYFUNCTION("""COMPUTED_VALUE"""),23)</f>
        <v>23</v>
      </c>
      <c r="C27" s="46" t="str">
        <f ca="1">IFERROR(__xludf.DUMMYFUNCTION("""COMPUTED_VALUE"""),"TALLERES")</f>
        <v>TALLERES</v>
      </c>
      <c r="D27" s="46" t="str">
        <f ca="1">IFERROR(__xludf.DUMMYFUNCTION("""COMPUTED_VALUE"""),"ASCENDENTE")</f>
        <v>ASCENDENTE</v>
      </c>
      <c r="E27" s="46" t="str">
        <f ca="1">IFERROR(__xludf.DUMMYFUNCTION("""COMPUTED_VALUE"""),"BITACORA OPERATIVA")</f>
        <v>BITACORA OPERATIVA</v>
      </c>
      <c r="F27" s="47">
        <f ca="1">IFERROR(__xludf.DUMMYFUNCTION("""COMPUTED_VALUE"""),1186.95652173913)</f>
        <v>1186.95652173913</v>
      </c>
      <c r="G27" s="48">
        <f ca="1">IFERROR(__xludf.DUMMYFUNCTION("""COMPUTED_VALUE"""),24)</f>
        <v>24</v>
      </c>
      <c r="H27" s="48">
        <f ca="1">IFERROR(__xludf.DUMMYFUNCTION("""COMPUTED_VALUE"""),23)</f>
        <v>23</v>
      </c>
      <c r="I27" s="48">
        <f ca="1">IFERROR(__xludf.DUMMYFUNCTION("""COMPUTED_VALUE"""),24)</f>
        <v>24</v>
      </c>
      <c r="J27" s="48">
        <f ca="1">IFERROR(__xludf.DUMMYFUNCTION("""COMPUTED_VALUE"""),19)</f>
        <v>19</v>
      </c>
      <c r="K27" s="48">
        <f ca="1">IFERROR(__xludf.DUMMYFUNCTION("""COMPUTED_VALUE"""),23)</f>
        <v>23</v>
      </c>
      <c r="L27" s="48">
        <f ca="1">IFERROR(__xludf.DUMMYFUNCTION("""COMPUTED_VALUE"""),23)</f>
        <v>23</v>
      </c>
      <c r="M27" s="48">
        <f ca="1">IFERROR(__xludf.DUMMYFUNCTION("""COMPUTED_VALUE"""),24)</f>
        <v>24</v>
      </c>
      <c r="N27" s="48">
        <f ca="1">IFERROR(__xludf.DUMMYFUNCTION("""COMPUTED_VALUE"""),23)</f>
        <v>23</v>
      </c>
      <c r="O27" s="48">
        <f ca="1">IFERROR(__xludf.DUMMYFUNCTION("""COMPUTED_VALUE"""),24)</f>
        <v>24</v>
      </c>
      <c r="P27" s="48">
        <f ca="1">IFERROR(__xludf.DUMMYFUNCTION("""COMPUTED_VALUE"""),24)</f>
        <v>24</v>
      </c>
      <c r="Q27" s="48">
        <f ca="1">IFERROR(__xludf.DUMMYFUNCTION("""COMPUTED_VALUE"""),23)</f>
        <v>23</v>
      </c>
      <c r="R27" s="48">
        <f ca="1">IFERROR(__xludf.DUMMYFUNCTION("""COMPUTED_VALUE"""),19)</f>
        <v>19</v>
      </c>
      <c r="S27" s="48">
        <f ca="1">IFERROR(__xludf.DUMMYFUNCTION("""COMPUTED_VALUE"""),273)</f>
        <v>273</v>
      </c>
    </row>
    <row r="28" spans="1:19">
      <c r="A28" s="46" t="str">
        <f ca="1">IFERROR(__xludf.DUMMYFUNCTION("""COMPUTED_VALUE"""),"PERSONAS BENEFICIADAS")</f>
        <v>PERSONAS BENEFICIADAS</v>
      </c>
      <c r="B28" s="46">
        <f ca="1">IFERROR(__xludf.DUMMYFUNCTION("""COMPUTED_VALUE"""),4260)</f>
        <v>4260</v>
      </c>
      <c r="C28" s="46" t="str">
        <f ca="1">IFERROR(__xludf.DUMMYFUNCTION("""COMPUTED_VALUE"""),"PERSONAS")</f>
        <v>PERSONAS</v>
      </c>
      <c r="D28" s="46" t="str">
        <f ca="1">IFERROR(__xludf.DUMMYFUNCTION("""COMPUTED_VALUE"""),"ASCENDENTE")</f>
        <v>ASCENDENTE</v>
      </c>
      <c r="E28" s="46" t="str">
        <f ca="1">IFERROR(__xludf.DUMMYFUNCTION("""COMPUTED_VALUE"""),"BITACORA OPERATIVA")</f>
        <v>BITACORA OPERATIVA</v>
      </c>
      <c r="F28" s="47">
        <f ca="1">IFERROR(__xludf.DUMMYFUNCTION("""COMPUTED_VALUE"""),101.948356807511)</f>
        <v>101.948356807511</v>
      </c>
      <c r="G28" s="48">
        <f ca="1">IFERROR(__xludf.DUMMYFUNCTION("""COMPUTED_VALUE"""),380)</f>
        <v>380</v>
      </c>
      <c r="H28" s="48">
        <f ca="1">IFERROR(__xludf.DUMMYFUNCTION("""COMPUTED_VALUE"""),369)</f>
        <v>369</v>
      </c>
      <c r="I28" s="48">
        <f ca="1">IFERROR(__xludf.DUMMYFUNCTION("""COMPUTED_VALUE"""),363)</f>
        <v>363</v>
      </c>
      <c r="J28" s="48">
        <f ca="1">IFERROR(__xludf.DUMMYFUNCTION("""COMPUTED_VALUE"""),327)</f>
        <v>327</v>
      </c>
      <c r="K28" s="48">
        <f ca="1">IFERROR(__xludf.DUMMYFUNCTION("""COMPUTED_VALUE"""),371)</f>
        <v>371</v>
      </c>
      <c r="L28" s="48">
        <f ca="1">IFERROR(__xludf.DUMMYFUNCTION("""COMPUTED_VALUE"""),367)</f>
        <v>367</v>
      </c>
      <c r="M28" s="48">
        <f ca="1">IFERROR(__xludf.DUMMYFUNCTION("""COMPUTED_VALUE"""),380)</f>
        <v>380</v>
      </c>
      <c r="N28" s="48">
        <f ca="1">IFERROR(__xludf.DUMMYFUNCTION("""COMPUTED_VALUE"""),369)</f>
        <v>369</v>
      </c>
      <c r="O28" s="48">
        <f ca="1">IFERROR(__xludf.DUMMYFUNCTION("""COMPUTED_VALUE"""),363)</f>
        <v>363</v>
      </c>
      <c r="P28" s="48">
        <f ca="1">IFERROR(__xludf.DUMMYFUNCTION("""COMPUTED_VALUE"""),365)</f>
        <v>365</v>
      </c>
      <c r="Q28" s="48">
        <f ca="1">IFERROR(__xludf.DUMMYFUNCTION("""COMPUTED_VALUE"""),329)</f>
        <v>329</v>
      </c>
      <c r="R28" s="48">
        <f ca="1">IFERROR(__xludf.DUMMYFUNCTION("""COMPUTED_VALUE"""),360)</f>
        <v>360</v>
      </c>
      <c r="S28" s="48">
        <f ca="1">IFERROR(__xludf.DUMMYFUNCTION("""COMPUTED_VALUE"""),4343)</f>
        <v>4343</v>
      </c>
    </row>
    <row r="29" spans="1:19">
      <c r="A29" s="46" t="str">
        <f ca="1">IFERROR(__xludf.DUMMYFUNCTION("""COMPUTED_VALUE"""),"TALLERES REALIZADOS")</f>
        <v>TALLERES REALIZADOS</v>
      </c>
      <c r="B29" s="46">
        <f ca="1">IFERROR(__xludf.DUMMYFUNCTION("""COMPUTED_VALUE"""),10)</f>
        <v>10</v>
      </c>
      <c r="C29" s="46" t="str">
        <f ca="1">IFERROR(__xludf.DUMMYFUNCTION("""COMPUTED_VALUE"""),"TALLERES")</f>
        <v>TALLERES</v>
      </c>
      <c r="D29" s="46" t="str">
        <f ca="1">IFERROR(__xludf.DUMMYFUNCTION("""COMPUTED_VALUE"""),"ASCENDENTE")</f>
        <v>ASCENDENTE</v>
      </c>
      <c r="E29" s="46" t="str">
        <f ca="1">IFERROR(__xludf.DUMMYFUNCTION("""COMPUTED_VALUE"""),"BITACORA OPERATIVA")</f>
        <v>BITACORA OPERATIVA</v>
      </c>
      <c r="F29" s="47">
        <f ca="1">IFERROR(__xludf.DUMMYFUNCTION("""COMPUTED_VALUE"""),1010)</f>
        <v>1010</v>
      </c>
      <c r="G29" s="48">
        <f ca="1">IFERROR(__xludf.DUMMYFUNCTION("""COMPUTED_VALUE"""),7)</f>
        <v>7</v>
      </c>
      <c r="H29" s="48">
        <f ca="1">IFERROR(__xludf.DUMMYFUNCTION("""COMPUTED_VALUE"""),7)</f>
        <v>7</v>
      </c>
      <c r="I29" s="48">
        <f ca="1">IFERROR(__xludf.DUMMYFUNCTION("""COMPUTED_VALUE"""),0)</f>
        <v>0</v>
      </c>
      <c r="J29" s="48">
        <f ca="1">IFERROR(__xludf.DUMMYFUNCTION("""COMPUTED_VALUE"""),10)</f>
        <v>10</v>
      </c>
      <c r="K29" s="48">
        <f ca="1">IFERROR(__xludf.DUMMYFUNCTION("""COMPUTED_VALUE"""),10)</f>
        <v>10</v>
      </c>
      <c r="L29" s="48">
        <f ca="1">IFERROR(__xludf.DUMMYFUNCTION("""COMPUTED_VALUE"""),10)</f>
        <v>10</v>
      </c>
      <c r="M29" s="48">
        <f ca="1">IFERROR(__xludf.DUMMYFUNCTION("""COMPUTED_VALUE"""),7)</f>
        <v>7</v>
      </c>
      <c r="N29" s="48">
        <f ca="1">IFERROR(__xludf.DUMMYFUNCTION("""COMPUTED_VALUE"""),7)</f>
        <v>7</v>
      </c>
      <c r="O29" s="48">
        <f ca="1">IFERROR(__xludf.DUMMYFUNCTION("""COMPUTED_VALUE"""),8)</f>
        <v>8</v>
      </c>
      <c r="P29" s="48">
        <f ca="1">IFERROR(__xludf.DUMMYFUNCTION("""COMPUTED_VALUE"""),11)</f>
        <v>11</v>
      </c>
      <c r="Q29" s="48">
        <f ca="1">IFERROR(__xludf.DUMMYFUNCTION("""COMPUTED_VALUE"""),12)</f>
        <v>12</v>
      </c>
      <c r="R29" s="48">
        <f ca="1">IFERROR(__xludf.DUMMYFUNCTION("""COMPUTED_VALUE"""),12)</f>
        <v>12</v>
      </c>
      <c r="S29" s="48">
        <f ca="1">IFERROR(__xludf.DUMMYFUNCTION("""COMPUTED_VALUE"""),101)</f>
        <v>101</v>
      </c>
    </row>
    <row r="30" spans="1:19">
      <c r="A30" s="46" t="str">
        <f ca="1">IFERROR(__xludf.DUMMYFUNCTION("""COMPUTED_VALUE"""),"PERSONAS BENEFICIADAS")</f>
        <v>PERSONAS BENEFICIADAS</v>
      </c>
      <c r="B30" s="46">
        <f ca="1">IFERROR(__xludf.DUMMYFUNCTION("""COMPUTED_VALUE"""),1620)</f>
        <v>1620</v>
      </c>
      <c r="C30" s="46" t="str">
        <f ca="1">IFERROR(__xludf.DUMMYFUNCTION("""COMPUTED_VALUE"""),"PERSONAS")</f>
        <v>PERSONAS</v>
      </c>
      <c r="D30" s="46" t="str">
        <f ca="1">IFERROR(__xludf.DUMMYFUNCTION("""COMPUTED_VALUE"""),"ASCENDENTE")</f>
        <v>ASCENDENTE</v>
      </c>
      <c r="E30" s="46" t="str">
        <f ca="1">IFERROR(__xludf.DUMMYFUNCTION("""COMPUTED_VALUE"""),"BITACORA OPERATIVA")</f>
        <v>BITACORA OPERATIVA</v>
      </c>
      <c r="F30" s="47">
        <f ca="1">IFERROR(__xludf.DUMMYFUNCTION("""COMPUTED_VALUE"""),133.456790123456)</f>
        <v>133.45679012345599</v>
      </c>
      <c r="G30" s="48">
        <f ca="1">IFERROR(__xludf.DUMMYFUNCTION("""COMPUTED_VALUE"""),154)</f>
        <v>154</v>
      </c>
      <c r="H30" s="48">
        <f ca="1">IFERROR(__xludf.DUMMYFUNCTION("""COMPUTED_VALUE"""),191)</f>
        <v>191</v>
      </c>
      <c r="I30" s="48">
        <f ca="1">IFERROR(__xludf.DUMMYFUNCTION("""COMPUTED_VALUE"""),149)</f>
        <v>149</v>
      </c>
      <c r="J30" s="48">
        <f ca="1">IFERROR(__xludf.DUMMYFUNCTION("""COMPUTED_VALUE"""),87)</f>
        <v>87</v>
      </c>
      <c r="K30" s="48">
        <f ca="1">IFERROR(__xludf.DUMMYFUNCTION("""COMPUTED_VALUE"""),151)</f>
        <v>151</v>
      </c>
      <c r="L30" s="48">
        <f ca="1">IFERROR(__xludf.DUMMYFUNCTION("""COMPUTED_VALUE"""),167)</f>
        <v>167</v>
      </c>
      <c r="M30" s="48">
        <f ca="1">IFERROR(__xludf.DUMMYFUNCTION("""COMPUTED_VALUE"""),154)</f>
        <v>154</v>
      </c>
      <c r="N30" s="48">
        <f ca="1">IFERROR(__xludf.DUMMYFUNCTION("""COMPUTED_VALUE"""),191)</f>
        <v>191</v>
      </c>
      <c r="O30" s="48">
        <f ca="1">IFERROR(__xludf.DUMMYFUNCTION("""COMPUTED_VALUE"""),149)</f>
        <v>149</v>
      </c>
      <c r="P30" s="48">
        <f ca="1">IFERROR(__xludf.DUMMYFUNCTION("""COMPUTED_VALUE"""),234)</f>
        <v>234</v>
      </c>
      <c r="Q30" s="48">
        <f ca="1">IFERROR(__xludf.DUMMYFUNCTION("""COMPUTED_VALUE"""),265)</f>
        <v>265</v>
      </c>
      <c r="R30" s="48">
        <f ca="1">IFERROR(__xludf.DUMMYFUNCTION("""COMPUTED_VALUE"""),270)</f>
        <v>270</v>
      </c>
      <c r="S30" s="48">
        <f ca="1">IFERROR(__xludf.DUMMYFUNCTION("""COMPUTED_VALUE"""),2162)</f>
        <v>2162</v>
      </c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01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1.1640625" defaultRowHeight="15" customHeight="1"/>
  <cols>
    <col min="1" max="1" width="46.1640625" customWidth="1"/>
    <col min="2" max="2" width="48.33203125" customWidth="1"/>
    <col min="3" max="3" width="57" customWidth="1"/>
    <col min="4" max="4" width="14.6640625" customWidth="1"/>
    <col min="5" max="6" width="21.1640625" customWidth="1"/>
    <col min="7" max="7" width="26.33203125" customWidth="1"/>
    <col min="8" max="8" width="13.6640625" customWidth="1"/>
    <col min="9" max="11" width="10.83203125" customWidth="1"/>
    <col min="12" max="16" width="10.5" customWidth="1"/>
    <col min="17" max="17" width="14" customWidth="1"/>
    <col min="18" max="18" width="11" customWidth="1"/>
    <col min="19" max="19" width="13.1640625" customWidth="1"/>
    <col min="20" max="21" width="12.33203125" customWidth="1"/>
  </cols>
  <sheetData>
    <row r="1" spans="1:21" ht="39.75" customHeight="1">
      <c r="A1" s="56" t="s">
        <v>506</v>
      </c>
      <c r="B1" s="57"/>
      <c r="C1" s="57"/>
      <c r="D1" s="57"/>
      <c r="E1" s="57"/>
      <c r="F1" s="57"/>
      <c r="G1" s="57"/>
      <c r="H1" s="58"/>
      <c r="I1" s="56" t="s">
        <v>1</v>
      </c>
      <c r="J1" s="57"/>
      <c r="K1" s="57"/>
      <c r="L1" s="57"/>
      <c r="M1" s="57"/>
      <c r="N1" s="57"/>
      <c r="O1" s="58"/>
      <c r="P1" s="59" t="s">
        <v>507</v>
      </c>
      <c r="Q1" s="57"/>
      <c r="R1" s="57"/>
      <c r="S1" s="57"/>
      <c r="T1" s="57"/>
      <c r="U1" s="58"/>
    </row>
    <row r="2" spans="1:21" ht="39.75" customHeight="1">
      <c r="A2" s="1" t="s">
        <v>3</v>
      </c>
      <c r="B2" s="2" t="s">
        <v>4</v>
      </c>
      <c r="C2" s="3" t="s">
        <v>5</v>
      </c>
      <c r="D2" s="3" t="s">
        <v>6</v>
      </c>
      <c r="E2" s="3" t="s">
        <v>7</v>
      </c>
      <c r="F2" s="2" t="s">
        <v>8</v>
      </c>
      <c r="G2" s="3" t="s">
        <v>9</v>
      </c>
      <c r="H2" s="3" t="s">
        <v>10</v>
      </c>
      <c r="I2" s="3" t="s">
        <v>11</v>
      </c>
      <c r="J2" s="5" t="s">
        <v>12</v>
      </c>
      <c r="K2" s="5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6" t="s">
        <v>21</v>
      </c>
      <c r="T2" s="6" t="s">
        <v>22</v>
      </c>
      <c r="U2" s="2" t="s">
        <v>23</v>
      </c>
    </row>
    <row r="3" spans="1:21" ht="39.75" customHeight="1">
      <c r="A3" s="55" t="s">
        <v>24</v>
      </c>
      <c r="B3" s="55" t="s">
        <v>24</v>
      </c>
      <c r="C3" s="7" t="s">
        <v>25</v>
      </c>
      <c r="D3" s="8">
        <v>555</v>
      </c>
      <c r="E3" s="10" t="str">
        <f>'PRESIDENCIA 24-25'!D3</f>
        <v>CITA</v>
      </c>
      <c r="F3" s="10" t="str">
        <f>'PRESIDENCIA 24-25'!E3</f>
        <v>ASCENDENTE</v>
      </c>
      <c r="G3" s="10" t="str">
        <f>'PRESIDENCIA 24-25'!F3</f>
        <v>BITACORA DE ATENCION</v>
      </c>
      <c r="H3" s="33">
        <f ca="1">'PRESIDENCIA 26-27'!G3</f>
        <v>0</v>
      </c>
      <c r="I3" s="10">
        <f ca="1">'PRESIDENCIA 26-27'!H3</f>
        <v>0</v>
      </c>
      <c r="J3" s="10">
        <f ca="1">'PRESIDENCIA 26-27'!I3</f>
        <v>0</v>
      </c>
      <c r="K3" s="10">
        <f ca="1">'PRESIDENCIA 26-27'!J3</f>
        <v>0</v>
      </c>
      <c r="L3" s="10">
        <f ca="1">'PRESIDENCIA 26-27'!K3</f>
        <v>0</v>
      </c>
      <c r="M3" s="10">
        <f ca="1">'PRESIDENCIA 26-27'!L3</f>
        <v>0</v>
      </c>
      <c r="N3" s="10">
        <f ca="1">'PRESIDENCIA 26-27'!M3</f>
        <v>0</v>
      </c>
      <c r="O3" s="10">
        <f ca="1">'PRESIDENCIA 26-27'!N3</f>
        <v>0</v>
      </c>
      <c r="P3" s="10">
        <f ca="1">'PRESIDENCIA 26-27'!O3</f>
        <v>0</v>
      </c>
      <c r="Q3" s="10">
        <f ca="1">'PRESIDENCIA 26-27'!P3</f>
        <v>0</v>
      </c>
      <c r="R3" s="10">
        <f ca="1">'PRESIDENCIA 26-27'!Q3</f>
        <v>0</v>
      </c>
      <c r="S3" s="10">
        <f ca="1">'PRESIDENCIA 26-27'!R3</f>
        <v>0</v>
      </c>
      <c r="T3" s="10">
        <f ca="1">'PRESIDENCIA 26-27'!S3</f>
        <v>0</v>
      </c>
      <c r="U3" s="10">
        <f ca="1">'PRESIDENCIA 26-27'!T3</f>
        <v>0</v>
      </c>
    </row>
    <row r="4" spans="1:21" ht="39.75" customHeight="1">
      <c r="A4" s="53"/>
      <c r="B4" s="51"/>
      <c r="C4" s="7" t="s">
        <v>26</v>
      </c>
      <c r="D4" s="8">
        <v>390</v>
      </c>
      <c r="E4" s="10" t="str">
        <f>'PRESIDENCIA 24-25'!D4</f>
        <v>NÚM. DE PERSONAS</v>
      </c>
      <c r="F4" s="10" t="str">
        <f>'PRESIDENCIA 24-25'!E4</f>
        <v>ASCENDENTE</v>
      </c>
      <c r="G4" s="10" t="str">
        <f>'PRESIDENCIA 24-25'!F4</f>
        <v>BITACORA DE ATENCION</v>
      </c>
      <c r="H4" s="33">
        <f ca="1">'PRESIDENCIA 26-27'!G4</f>
        <v>0</v>
      </c>
      <c r="I4" s="10">
        <f ca="1">'PRESIDENCIA 26-27'!H4</f>
        <v>0</v>
      </c>
      <c r="J4" s="10">
        <f ca="1">'PRESIDENCIA 26-27'!I4</f>
        <v>0</v>
      </c>
      <c r="K4" s="10">
        <f ca="1">'PRESIDENCIA 26-27'!J4</f>
        <v>0</v>
      </c>
      <c r="L4" s="10">
        <f ca="1">'PRESIDENCIA 26-27'!K4</f>
        <v>0</v>
      </c>
      <c r="M4" s="10">
        <f ca="1">'PRESIDENCIA 26-27'!L4</f>
        <v>0</v>
      </c>
      <c r="N4" s="10">
        <f ca="1">'PRESIDENCIA 26-27'!M4</f>
        <v>0</v>
      </c>
      <c r="O4" s="10">
        <f ca="1">'PRESIDENCIA 26-27'!N4</f>
        <v>0</v>
      </c>
      <c r="P4" s="10">
        <f ca="1">'PRESIDENCIA 26-27'!O4</f>
        <v>0</v>
      </c>
      <c r="Q4" s="10">
        <f ca="1">'PRESIDENCIA 26-27'!P4</f>
        <v>0</v>
      </c>
      <c r="R4" s="10">
        <f ca="1">'PRESIDENCIA 26-27'!Q4</f>
        <v>0</v>
      </c>
      <c r="S4" s="10">
        <f ca="1">'PRESIDENCIA 26-27'!R4</f>
        <v>0</v>
      </c>
      <c r="T4" s="10">
        <f ca="1">'PRESIDENCIA 26-27'!S4</f>
        <v>0</v>
      </c>
      <c r="U4" s="10">
        <f ca="1">'PRESIDENCIA 26-27'!T4</f>
        <v>0</v>
      </c>
    </row>
    <row r="5" spans="1:21" ht="39.75" customHeight="1">
      <c r="A5" s="53"/>
      <c r="B5" s="55" t="s">
        <v>27</v>
      </c>
      <c r="C5" s="7" t="s">
        <v>26</v>
      </c>
      <c r="D5" s="8">
        <v>100</v>
      </c>
      <c r="E5" s="10" t="str">
        <f>'PRESIDENCIA 24-25'!D5</f>
        <v>NUM. PERSONAS</v>
      </c>
      <c r="F5" s="10" t="str">
        <f>'PRESIDENCIA 24-25'!E5</f>
        <v>ASCENDENTE</v>
      </c>
      <c r="G5" s="10" t="str">
        <f>'PRESIDENCIA 24-25'!F5</f>
        <v>BITACORA DE ATENCION</v>
      </c>
      <c r="H5" s="33">
        <f ca="1">'PRESIDENCIA 26-27'!G5</f>
        <v>0</v>
      </c>
      <c r="I5" s="10">
        <f ca="1">'PRESIDENCIA 26-27'!H5</f>
        <v>0</v>
      </c>
      <c r="J5" s="10">
        <f ca="1">'PRESIDENCIA 26-27'!I5</f>
        <v>0</v>
      </c>
      <c r="K5" s="10">
        <f ca="1">'PRESIDENCIA 26-27'!J5</f>
        <v>0</v>
      </c>
      <c r="L5" s="10">
        <f ca="1">'PRESIDENCIA 26-27'!K5</f>
        <v>0</v>
      </c>
      <c r="M5" s="10">
        <f ca="1">'PRESIDENCIA 26-27'!L5</f>
        <v>0</v>
      </c>
      <c r="N5" s="10">
        <f ca="1">'PRESIDENCIA 26-27'!M5</f>
        <v>0</v>
      </c>
      <c r="O5" s="10">
        <f ca="1">'PRESIDENCIA 26-27'!N5</f>
        <v>0</v>
      </c>
      <c r="P5" s="10">
        <f ca="1">'PRESIDENCIA 26-27'!O5</f>
        <v>0</v>
      </c>
      <c r="Q5" s="10">
        <f ca="1">'PRESIDENCIA 26-27'!P5</f>
        <v>0</v>
      </c>
      <c r="R5" s="10">
        <f ca="1">'PRESIDENCIA 26-27'!Q5</f>
        <v>0</v>
      </c>
      <c r="S5" s="10">
        <f ca="1">'PRESIDENCIA 26-27'!R5</f>
        <v>0</v>
      </c>
      <c r="T5" s="10">
        <f ca="1">'PRESIDENCIA 26-27'!S5</f>
        <v>0</v>
      </c>
      <c r="U5" s="10">
        <f ca="1">'PRESIDENCIA 26-27'!T5</f>
        <v>0</v>
      </c>
    </row>
    <row r="6" spans="1:21" ht="39.75" customHeight="1">
      <c r="A6" s="53"/>
      <c r="B6" s="51"/>
      <c r="C6" s="7" t="s">
        <v>28</v>
      </c>
      <c r="D6" s="8">
        <v>50</v>
      </c>
      <c r="E6" s="10" t="str">
        <f>'PRESIDENCIA 24-25'!D6</f>
        <v>NÚM. ACUERDOS</v>
      </c>
      <c r="F6" s="10" t="str">
        <f>'PRESIDENCIA 24-25'!E6</f>
        <v>ASCENDENTE</v>
      </c>
      <c r="G6" s="10" t="str">
        <f>'PRESIDENCIA 24-25'!F6</f>
        <v>MINUTA DE REUNION</v>
      </c>
      <c r="H6" s="33">
        <f ca="1">'PRESIDENCIA 26-27'!G6</f>
        <v>0</v>
      </c>
      <c r="I6" s="10">
        <f ca="1">'PRESIDENCIA 26-27'!H6</f>
        <v>0</v>
      </c>
      <c r="J6" s="10">
        <f ca="1">'PRESIDENCIA 26-27'!I6</f>
        <v>0</v>
      </c>
      <c r="K6" s="10">
        <f ca="1">'PRESIDENCIA 26-27'!J6</f>
        <v>0</v>
      </c>
      <c r="L6" s="10">
        <f ca="1">'PRESIDENCIA 26-27'!K6</f>
        <v>0</v>
      </c>
      <c r="M6" s="10">
        <f ca="1">'PRESIDENCIA 26-27'!L6</f>
        <v>0</v>
      </c>
      <c r="N6" s="10">
        <f ca="1">'PRESIDENCIA 26-27'!M6</f>
        <v>0</v>
      </c>
      <c r="O6" s="10">
        <f ca="1">'PRESIDENCIA 26-27'!N6</f>
        <v>0</v>
      </c>
      <c r="P6" s="10">
        <f ca="1">'PRESIDENCIA 26-27'!O6</f>
        <v>0</v>
      </c>
      <c r="Q6" s="10">
        <f ca="1">'PRESIDENCIA 26-27'!P6</f>
        <v>0</v>
      </c>
      <c r="R6" s="10">
        <f ca="1">'PRESIDENCIA 26-27'!Q6</f>
        <v>0</v>
      </c>
      <c r="S6" s="10">
        <f ca="1">'PRESIDENCIA 26-27'!R6</f>
        <v>0</v>
      </c>
      <c r="T6" s="10">
        <f ca="1">'PRESIDENCIA 26-27'!S6</f>
        <v>0</v>
      </c>
      <c r="U6" s="10">
        <f ca="1">'PRESIDENCIA 26-27'!T6</f>
        <v>0</v>
      </c>
    </row>
    <row r="7" spans="1:21" ht="39.75" customHeight="1">
      <c r="A7" s="53"/>
      <c r="B7" s="55" t="s">
        <v>29</v>
      </c>
      <c r="C7" s="7" t="s">
        <v>30</v>
      </c>
      <c r="D7" s="8">
        <v>480</v>
      </c>
      <c r="E7" s="10" t="str">
        <f>'PRESIDENCIA 24-25'!D7</f>
        <v>NÚM. DE SOLICITUDES</v>
      </c>
      <c r="F7" s="10" t="str">
        <f>'PRESIDENCIA 24-25'!E7</f>
        <v>ASCENDENTE</v>
      </c>
      <c r="G7" s="10" t="str">
        <f>'PRESIDENCIA 24-25'!F7</f>
        <v>PNT</v>
      </c>
      <c r="H7" s="33">
        <f ca="1">'PRESIDENCIA 26-27'!G7</f>
        <v>0</v>
      </c>
      <c r="I7" s="10">
        <f ca="1">'PRESIDENCIA 26-27'!H7</f>
        <v>0</v>
      </c>
      <c r="J7" s="10">
        <f ca="1">'PRESIDENCIA 26-27'!I7</f>
        <v>0</v>
      </c>
      <c r="K7" s="10">
        <f ca="1">'PRESIDENCIA 26-27'!J7</f>
        <v>0</v>
      </c>
      <c r="L7" s="10">
        <f ca="1">'PRESIDENCIA 26-27'!K7</f>
        <v>0</v>
      </c>
      <c r="M7" s="10">
        <f ca="1">'PRESIDENCIA 26-27'!L7</f>
        <v>0</v>
      </c>
      <c r="N7" s="10">
        <f ca="1">'PRESIDENCIA 26-27'!M7</f>
        <v>0</v>
      </c>
      <c r="O7" s="10">
        <f ca="1">'PRESIDENCIA 26-27'!N7</f>
        <v>0</v>
      </c>
      <c r="P7" s="10">
        <f ca="1">'PRESIDENCIA 26-27'!O7</f>
        <v>0</v>
      </c>
      <c r="Q7" s="10">
        <f ca="1">'PRESIDENCIA 26-27'!P7</f>
        <v>0</v>
      </c>
      <c r="R7" s="10">
        <f ca="1">'PRESIDENCIA 26-27'!Q7</f>
        <v>0</v>
      </c>
      <c r="S7" s="10">
        <f ca="1">'PRESIDENCIA 26-27'!R7</f>
        <v>0</v>
      </c>
      <c r="T7" s="10">
        <f ca="1">'PRESIDENCIA 26-27'!S7</f>
        <v>0</v>
      </c>
      <c r="U7" s="10">
        <f ca="1">'PRESIDENCIA 26-27'!T7</f>
        <v>0</v>
      </c>
    </row>
    <row r="8" spans="1:21" ht="39.75" customHeight="1">
      <c r="A8" s="53"/>
      <c r="B8" s="51"/>
      <c r="C8" s="7" t="s">
        <v>31</v>
      </c>
      <c r="D8" s="8">
        <v>10</v>
      </c>
      <c r="E8" s="10" t="str">
        <f>'PRESIDENCIA 24-25'!D8</f>
        <v>NÚM. DE CAPACITACIONES</v>
      </c>
      <c r="F8" s="10" t="str">
        <f>'PRESIDENCIA 24-25'!E8</f>
        <v>ASCENDENTE</v>
      </c>
      <c r="G8" s="10" t="str">
        <f>'PRESIDENCIA 24-25'!F8</f>
        <v>PROGRAMA ANUAL DE CAPACITACIONES</v>
      </c>
      <c r="H8" s="33">
        <f ca="1">'PRESIDENCIA 26-27'!G8</f>
        <v>0</v>
      </c>
      <c r="I8" s="10">
        <f ca="1">'PRESIDENCIA 26-27'!H8</f>
        <v>0</v>
      </c>
      <c r="J8" s="10">
        <f ca="1">'PRESIDENCIA 26-27'!I8</f>
        <v>0</v>
      </c>
      <c r="K8" s="10">
        <f ca="1">'PRESIDENCIA 26-27'!J8</f>
        <v>0</v>
      </c>
      <c r="L8" s="10">
        <f ca="1">'PRESIDENCIA 26-27'!K8</f>
        <v>0</v>
      </c>
      <c r="M8" s="10">
        <f ca="1">'PRESIDENCIA 26-27'!L8</f>
        <v>0</v>
      </c>
      <c r="N8" s="10">
        <f ca="1">'PRESIDENCIA 26-27'!M8</f>
        <v>0</v>
      </c>
      <c r="O8" s="10">
        <f ca="1">'PRESIDENCIA 26-27'!N8</f>
        <v>0</v>
      </c>
      <c r="P8" s="10">
        <f ca="1">'PRESIDENCIA 26-27'!O8</f>
        <v>0</v>
      </c>
      <c r="Q8" s="10">
        <f ca="1">'PRESIDENCIA 26-27'!P8</f>
        <v>0</v>
      </c>
      <c r="R8" s="10">
        <f ca="1">'PRESIDENCIA 26-27'!Q8</f>
        <v>0</v>
      </c>
      <c r="S8" s="10">
        <f ca="1">'PRESIDENCIA 26-27'!R8</f>
        <v>0</v>
      </c>
      <c r="T8" s="10">
        <f ca="1">'PRESIDENCIA 26-27'!S8</f>
        <v>0</v>
      </c>
      <c r="U8" s="10">
        <f ca="1">'PRESIDENCIA 26-27'!T8</f>
        <v>0</v>
      </c>
    </row>
    <row r="9" spans="1:21" ht="39.75" customHeight="1">
      <c r="A9" s="53"/>
      <c r="B9" s="55" t="s">
        <v>32</v>
      </c>
      <c r="C9" s="7" t="s">
        <v>33</v>
      </c>
      <c r="D9" s="10">
        <f>'PRESIDENCIA 24-25'!C9</f>
        <v>430</v>
      </c>
      <c r="E9" s="10" t="str">
        <f>'PRESIDENCIA 24-25'!D9</f>
        <v>NÚM. DE NOTAS PUBLICADAS</v>
      </c>
      <c r="F9" s="10" t="str">
        <f>'PRESIDENCIA 24-25'!E9</f>
        <v>ASCENDENTE</v>
      </c>
      <c r="G9" s="10" t="str">
        <f>'PRESIDENCIA 24-25'!F9</f>
        <v>BITACORA OPERATIVA</v>
      </c>
      <c r="H9" s="33">
        <f ca="1">'PRESIDENCIA 26-27'!G9</f>
        <v>0</v>
      </c>
      <c r="I9" s="10">
        <f ca="1">'PRESIDENCIA 26-27'!H9</f>
        <v>0</v>
      </c>
      <c r="J9" s="10">
        <f ca="1">'PRESIDENCIA 26-27'!I9</f>
        <v>0</v>
      </c>
      <c r="K9" s="10">
        <f ca="1">'PRESIDENCIA 26-27'!J9</f>
        <v>0</v>
      </c>
      <c r="L9" s="10">
        <f ca="1">'PRESIDENCIA 26-27'!K9</f>
        <v>0</v>
      </c>
      <c r="M9" s="10">
        <f ca="1">'PRESIDENCIA 26-27'!L9</f>
        <v>0</v>
      </c>
      <c r="N9" s="10">
        <f ca="1">'PRESIDENCIA 26-27'!M9</f>
        <v>0</v>
      </c>
      <c r="O9" s="10">
        <f ca="1">'PRESIDENCIA 26-27'!N9</f>
        <v>0</v>
      </c>
      <c r="P9" s="10">
        <f ca="1">'PRESIDENCIA 26-27'!O9</f>
        <v>0</v>
      </c>
      <c r="Q9" s="10">
        <f ca="1">'PRESIDENCIA 26-27'!P9</f>
        <v>0</v>
      </c>
      <c r="R9" s="10">
        <f ca="1">'PRESIDENCIA 26-27'!Q9</f>
        <v>0</v>
      </c>
      <c r="S9" s="10">
        <f ca="1">'PRESIDENCIA 26-27'!R9</f>
        <v>0</v>
      </c>
      <c r="T9" s="10">
        <f ca="1">'PRESIDENCIA 26-27'!S9</f>
        <v>0</v>
      </c>
      <c r="U9" s="10">
        <f ca="1">'PRESIDENCIA 26-27'!T9</f>
        <v>0</v>
      </c>
    </row>
    <row r="10" spans="1:21" ht="39.75" customHeight="1">
      <c r="A10" s="53"/>
      <c r="B10" s="53"/>
      <c r="C10" s="7" t="s">
        <v>34</v>
      </c>
      <c r="D10" s="10">
        <f>'PRESIDENCIA 24-25'!C10</f>
        <v>950</v>
      </c>
      <c r="E10" s="10" t="str">
        <f>'PRESIDENCIA 24-25'!D10</f>
        <v>NÚM. DE DISEÑOS REALIZADOS</v>
      </c>
      <c r="F10" s="10" t="str">
        <f>'PRESIDENCIA 24-25'!E10</f>
        <v>ASCENDENTE</v>
      </c>
      <c r="G10" s="10" t="str">
        <f>'PRESIDENCIA 24-25'!F10</f>
        <v>BITACORA OPERATIVA</v>
      </c>
      <c r="H10" s="33">
        <f ca="1">'PRESIDENCIA 26-27'!G10</f>
        <v>0</v>
      </c>
      <c r="I10" s="10">
        <f ca="1">'PRESIDENCIA 26-27'!H10</f>
        <v>0</v>
      </c>
      <c r="J10" s="10">
        <f ca="1">'PRESIDENCIA 26-27'!I10</f>
        <v>0</v>
      </c>
      <c r="K10" s="10">
        <f ca="1">'PRESIDENCIA 26-27'!J10</f>
        <v>0</v>
      </c>
      <c r="L10" s="10">
        <f ca="1">'PRESIDENCIA 26-27'!K10</f>
        <v>0</v>
      </c>
      <c r="M10" s="10">
        <f ca="1">'PRESIDENCIA 26-27'!L10</f>
        <v>0</v>
      </c>
      <c r="N10" s="10">
        <f ca="1">'PRESIDENCIA 26-27'!M10</f>
        <v>0</v>
      </c>
      <c r="O10" s="10">
        <f ca="1">'PRESIDENCIA 26-27'!N10</f>
        <v>0</v>
      </c>
      <c r="P10" s="10">
        <f ca="1">'PRESIDENCIA 26-27'!O10</f>
        <v>0</v>
      </c>
      <c r="Q10" s="10">
        <f ca="1">'PRESIDENCIA 26-27'!P10</f>
        <v>0</v>
      </c>
      <c r="R10" s="10">
        <f ca="1">'PRESIDENCIA 26-27'!Q10</f>
        <v>0</v>
      </c>
      <c r="S10" s="10">
        <f ca="1">'PRESIDENCIA 26-27'!R10</f>
        <v>0</v>
      </c>
      <c r="T10" s="10">
        <f ca="1">'PRESIDENCIA 26-27'!S10</f>
        <v>0</v>
      </c>
      <c r="U10" s="10">
        <f ca="1">'PRESIDENCIA 26-27'!T10</f>
        <v>0</v>
      </c>
    </row>
    <row r="11" spans="1:21" ht="39.75" customHeight="1">
      <c r="A11" s="53"/>
      <c r="B11" s="51"/>
      <c r="C11" s="7" t="s">
        <v>35</v>
      </c>
      <c r="D11" s="10">
        <f>'PRESIDENCIA 24-25'!C11</f>
        <v>1100</v>
      </c>
      <c r="E11" s="10" t="str">
        <f>'PRESIDENCIA 24-25'!D11</f>
        <v>NÚM. DE PUBLICCIONES</v>
      </c>
      <c r="F11" s="10" t="str">
        <f>'PRESIDENCIA 24-25'!E11</f>
        <v>ASCENDENTE</v>
      </c>
      <c r="G11" s="10" t="str">
        <f>'PRESIDENCIA 24-25'!F11</f>
        <v>BITACORA OPERATIVA</v>
      </c>
      <c r="H11" s="33">
        <f ca="1">'PRESIDENCIA 26-27'!G11</f>
        <v>0</v>
      </c>
      <c r="I11" s="10">
        <f ca="1">'PRESIDENCIA 26-27'!H11</f>
        <v>0</v>
      </c>
      <c r="J11" s="10">
        <f ca="1">'PRESIDENCIA 26-27'!I11</f>
        <v>0</v>
      </c>
      <c r="K11" s="10">
        <f ca="1">'PRESIDENCIA 26-27'!J11</f>
        <v>0</v>
      </c>
      <c r="L11" s="10">
        <f ca="1">'PRESIDENCIA 26-27'!K11</f>
        <v>0</v>
      </c>
      <c r="M11" s="10">
        <f ca="1">'PRESIDENCIA 26-27'!L11</f>
        <v>0</v>
      </c>
      <c r="N11" s="10">
        <f ca="1">'PRESIDENCIA 26-27'!M11</f>
        <v>0</v>
      </c>
      <c r="O11" s="10">
        <f ca="1">'PRESIDENCIA 26-27'!N11</f>
        <v>0</v>
      </c>
      <c r="P11" s="10">
        <f ca="1">'PRESIDENCIA 26-27'!O11</f>
        <v>0</v>
      </c>
      <c r="Q11" s="10">
        <f ca="1">'PRESIDENCIA 26-27'!P11</f>
        <v>0</v>
      </c>
      <c r="R11" s="10">
        <f ca="1">'PRESIDENCIA 26-27'!Q11</f>
        <v>0</v>
      </c>
      <c r="S11" s="10">
        <f ca="1">'PRESIDENCIA 26-27'!R11</f>
        <v>0</v>
      </c>
      <c r="T11" s="10">
        <f ca="1">'PRESIDENCIA 26-27'!S11</f>
        <v>0</v>
      </c>
      <c r="U11" s="10">
        <f ca="1">'PRESIDENCIA 26-27'!T11</f>
        <v>0</v>
      </c>
    </row>
    <row r="12" spans="1:21" ht="39.75" customHeight="1">
      <c r="A12" s="53"/>
      <c r="B12" s="55" t="s">
        <v>36</v>
      </c>
      <c r="C12" s="7" t="s">
        <v>37</v>
      </c>
      <c r="D12" s="10">
        <f>'PRESIDENCIA 24-25'!C12</f>
        <v>23</v>
      </c>
      <c r="E12" s="10" t="str">
        <f>'PRESIDENCIA 24-25'!D12</f>
        <v>NÚM. DE PROGRAMAS IMPLEMENTADOS</v>
      </c>
      <c r="F12" s="10" t="str">
        <f>'PRESIDENCIA 24-25'!E12</f>
        <v>ASCENDENTE</v>
      </c>
      <c r="G12" s="10" t="str">
        <f>'PRESIDENCIA 24-25'!F12</f>
        <v>PADRON UNICO DE BENEFICIADOS</v>
      </c>
      <c r="H12" s="33">
        <f ca="1">'PRESIDENCIA 26-27'!G12</f>
        <v>0</v>
      </c>
      <c r="I12" s="10">
        <f ca="1">'PRESIDENCIA 26-27'!H12</f>
        <v>0</v>
      </c>
      <c r="J12" s="10">
        <f ca="1">'PRESIDENCIA 26-27'!I12</f>
        <v>0</v>
      </c>
      <c r="K12" s="10">
        <f ca="1">'PRESIDENCIA 26-27'!J12</f>
        <v>0</v>
      </c>
      <c r="L12" s="10">
        <f ca="1">'PRESIDENCIA 26-27'!K12</f>
        <v>0</v>
      </c>
      <c r="M12" s="10">
        <f ca="1">'PRESIDENCIA 26-27'!L12</f>
        <v>0</v>
      </c>
      <c r="N12" s="10">
        <f ca="1">'PRESIDENCIA 26-27'!M12</f>
        <v>0</v>
      </c>
      <c r="O12" s="10">
        <f ca="1">'PRESIDENCIA 26-27'!N12</f>
        <v>0</v>
      </c>
      <c r="P12" s="10">
        <f ca="1">'PRESIDENCIA 26-27'!O12</f>
        <v>0</v>
      </c>
      <c r="Q12" s="10">
        <f ca="1">'PRESIDENCIA 26-27'!P12</f>
        <v>0</v>
      </c>
      <c r="R12" s="10">
        <f ca="1">'PRESIDENCIA 26-27'!Q12</f>
        <v>0</v>
      </c>
      <c r="S12" s="10">
        <f ca="1">'PRESIDENCIA 26-27'!R12</f>
        <v>0</v>
      </c>
      <c r="T12" s="10">
        <f ca="1">'PRESIDENCIA 26-27'!S12</f>
        <v>0</v>
      </c>
      <c r="U12" s="10">
        <f ca="1">'PRESIDENCIA 26-27'!T12</f>
        <v>0</v>
      </c>
    </row>
    <row r="13" spans="1:21" ht="39.75" customHeight="1">
      <c r="A13" s="51"/>
      <c r="B13" s="51"/>
      <c r="C13" s="7" t="s">
        <v>38</v>
      </c>
      <c r="D13" s="8">
        <v>550</v>
      </c>
      <c r="E13" s="10" t="str">
        <f>'PRESIDENCIA 24-25'!D13</f>
        <v>NUM. PERSONAS</v>
      </c>
      <c r="F13" s="10" t="str">
        <f>'PRESIDENCIA 24-25'!E13</f>
        <v>ASCENDENTE</v>
      </c>
      <c r="G13" s="10" t="str">
        <f>'PRESIDENCIA 24-25'!F13</f>
        <v>PADRON UNICO DE BENEFICIADOS</v>
      </c>
      <c r="H13" s="33">
        <f ca="1">'PRESIDENCIA 26-27'!G13</f>
        <v>0</v>
      </c>
      <c r="I13" s="10">
        <f ca="1">'PRESIDENCIA 26-27'!H13</f>
        <v>0</v>
      </c>
      <c r="J13" s="10">
        <f ca="1">'PRESIDENCIA 26-27'!I13</f>
        <v>0</v>
      </c>
      <c r="K13" s="10">
        <f ca="1">'PRESIDENCIA 26-27'!J13</f>
        <v>0</v>
      </c>
      <c r="L13" s="10">
        <f ca="1">'PRESIDENCIA 26-27'!K13</f>
        <v>0</v>
      </c>
      <c r="M13" s="10">
        <f ca="1">'PRESIDENCIA 26-27'!L13</f>
        <v>0</v>
      </c>
      <c r="N13" s="10">
        <f ca="1">'PRESIDENCIA 26-27'!M13</f>
        <v>0</v>
      </c>
      <c r="O13" s="10">
        <f ca="1">'PRESIDENCIA 26-27'!N13</f>
        <v>0</v>
      </c>
      <c r="P13" s="10">
        <f ca="1">'PRESIDENCIA 26-27'!O13</f>
        <v>0</v>
      </c>
      <c r="Q13" s="10">
        <f ca="1">'PRESIDENCIA 26-27'!P13</f>
        <v>0</v>
      </c>
      <c r="R13" s="10">
        <f ca="1">'PRESIDENCIA 26-27'!Q13</f>
        <v>0</v>
      </c>
      <c r="S13" s="10">
        <f ca="1">'PRESIDENCIA 26-27'!R13</f>
        <v>0</v>
      </c>
      <c r="T13" s="10">
        <f ca="1">'PRESIDENCIA 26-27'!S13</f>
        <v>0</v>
      </c>
      <c r="U13" s="10">
        <f ca="1">'PRESIDENCIA 26-27'!T13</f>
        <v>0</v>
      </c>
    </row>
    <row r="14" spans="1:21" ht="39.75" customHeight="1">
      <c r="A14" s="52" t="s">
        <v>39</v>
      </c>
      <c r="B14" s="52" t="s">
        <v>40</v>
      </c>
      <c r="C14" s="12" t="s">
        <v>37</v>
      </c>
      <c r="D14" s="30">
        <v>10</v>
      </c>
      <c r="E14" s="10" t="str">
        <f ca="1">SIN1PERIODO!C2</f>
        <v>PROGRAMAS</v>
      </c>
      <c r="F14" s="10" t="str">
        <f ca="1">SIN1PERIODO!D2</f>
        <v>ASCENDENTE</v>
      </c>
      <c r="G14" s="10" t="str">
        <f ca="1">SIN1PERIODO!E2</f>
        <v>PROGRAMA OPERATIVO ANUAL</v>
      </c>
      <c r="H14" s="14">
        <f ca="1">'1RA SEGURIDAD PUBLICA'!F2</f>
        <v>0</v>
      </c>
      <c r="I14" s="14">
        <f ca="1">'1RA SEGURIDAD PUBLICA'!G2</f>
        <v>0</v>
      </c>
      <c r="J14" s="14">
        <f ca="1">'1RA SEGURIDAD PUBLICA'!H2</f>
        <v>0</v>
      </c>
      <c r="K14" s="14">
        <f ca="1">'1RA SEGURIDAD PUBLICA'!I2</f>
        <v>0</v>
      </c>
      <c r="L14" s="14">
        <f ca="1">'1RA SEGURIDAD PUBLICA'!J2</f>
        <v>0</v>
      </c>
      <c r="M14" s="14">
        <f ca="1">'1RA SEGURIDAD PUBLICA'!K2</f>
        <v>0</v>
      </c>
      <c r="N14" s="14">
        <f ca="1">'1RA SEGURIDAD PUBLICA'!L2</f>
        <v>0</v>
      </c>
      <c r="O14" s="14">
        <f ca="1">'1RA SEGURIDAD PUBLICA'!M2</f>
        <v>0</v>
      </c>
      <c r="P14" s="14">
        <f ca="1">'1RA SEGURIDAD PUBLICA'!N2</f>
        <v>0</v>
      </c>
      <c r="Q14" s="14">
        <f ca="1">'1RA SEGURIDAD PUBLICA'!O2</f>
        <v>0</v>
      </c>
      <c r="R14" s="14">
        <f ca="1">'1RA SEGURIDAD PUBLICA'!P2</f>
        <v>0</v>
      </c>
      <c r="S14" s="14">
        <f ca="1">'1RA SEGURIDAD PUBLICA'!Q2</f>
        <v>0</v>
      </c>
      <c r="T14" s="14">
        <f ca="1">'1RA SEGURIDAD PUBLICA'!R2</f>
        <v>0</v>
      </c>
      <c r="U14" s="14">
        <f ca="1">'1RA SEGURIDAD PUBLICA'!S2</f>
        <v>0</v>
      </c>
    </row>
    <row r="15" spans="1:21" ht="39.75" customHeight="1">
      <c r="A15" s="53"/>
      <c r="B15" s="51"/>
      <c r="C15" s="12" t="s">
        <v>38</v>
      </c>
      <c r="D15" s="30">
        <v>780</v>
      </c>
      <c r="E15" s="10" t="str">
        <f ca="1">SIN1PERIODO!C3</f>
        <v>NÚM. DE PERSONAS</v>
      </c>
      <c r="F15" s="10" t="str">
        <f ca="1">SIN1PERIODO!D3</f>
        <v>ASCENDENTE</v>
      </c>
      <c r="G15" s="10" t="str">
        <f ca="1">SIN1PERIODO!E3</f>
        <v>PROGRAMA OPERATIVO ANUAL</v>
      </c>
      <c r="H15" s="14">
        <f ca="1">'1RA SEGURIDAD PUBLICA'!F3</f>
        <v>0</v>
      </c>
      <c r="I15" s="14">
        <f ca="1">'1RA SEGURIDAD PUBLICA'!G3</f>
        <v>0</v>
      </c>
      <c r="J15" s="14">
        <f ca="1">'1RA SEGURIDAD PUBLICA'!H3</f>
        <v>0</v>
      </c>
      <c r="K15" s="14">
        <f ca="1">'1RA SEGURIDAD PUBLICA'!I3</f>
        <v>0</v>
      </c>
      <c r="L15" s="14">
        <f ca="1">'1RA SEGURIDAD PUBLICA'!J3</f>
        <v>0</v>
      </c>
      <c r="M15" s="14">
        <f ca="1">'1RA SEGURIDAD PUBLICA'!K3</f>
        <v>0</v>
      </c>
      <c r="N15" s="14">
        <f ca="1">'1RA SEGURIDAD PUBLICA'!L3</f>
        <v>0</v>
      </c>
      <c r="O15" s="14">
        <f ca="1">'1RA SEGURIDAD PUBLICA'!M3</f>
        <v>0</v>
      </c>
      <c r="P15" s="14">
        <f ca="1">'1RA SEGURIDAD PUBLICA'!N3</f>
        <v>0</v>
      </c>
      <c r="Q15" s="14">
        <f ca="1">'1RA SEGURIDAD PUBLICA'!O3</f>
        <v>0</v>
      </c>
      <c r="R15" s="14">
        <f ca="1">'1RA SEGURIDAD PUBLICA'!P3</f>
        <v>0</v>
      </c>
      <c r="S15" s="14">
        <f ca="1">'1RA SEGURIDAD PUBLICA'!Q3</f>
        <v>0</v>
      </c>
      <c r="T15" s="14">
        <f ca="1">'1RA SEGURIDAD PUBLICA'!R3</f>
        <v>0</v>
      </c>
      <c r="U15" s="14">
        <f ca="1">'1RA SEGURIDAD PUBLICA'!S3</f>
        <v>0</v>
      </c>
    </row>
    <row r="16" spans="1:21" ht="39.75" customHeight="1">
      <c r="A16" s="53"/>
      <c r="B16" s="13" t="s">
        <v>41</v>
      </c>
      <c r="C16" s="12" t="s">
        <v>42</v>
      </c>
      <c r="D16" s="30">
        <v>120</v>
      </c>
      <c r="E16" s="10" t="str">
        <f ca="1">SIN1PERIODO!C4</f>
        <v>JUICIOS ATENDIDOS</v>
      </c>
      <c r="F16" s="10" t="str">
        <f ca="1">SIN1PERIODO!D4</f>
        <v>ASCENDENTE</v>
      </c>
      <c r="G16" s="10" t="str">
        <f ca="1">SIN1PERIODO!E4</f>
        <v>BITACORA OPERATIVA</v>
      </c>
      <c r="H16" s="14">
        <f ca="1">'1RA SEGURIDAD PUBLICA'!F4</f>
        <v>0</v>
      </c>
      <c r="I16" s="14">
        <f ca="1">'1RA SEGURIDAD PUBLICA'!G4</f>
        <v>0</v>
      </c>
      <c r="J16" s="14">
        <f ca="1">'1RA SEGURIDAD PUBLICA'!H4</f>
        <v>0</v>
      </c>
      <c r="K16" s="14">
        <f ca="1">'1RA SEGURIDAD PUBLICA'!I4</f>
        <v>0</v>
      </c>
      <c r="L16" s="14">
        <f ca="1">'1RA SEGURIDAD PUBLICA'!J4</f>
        <v>0</v>
      </c>
      <c r="M16" s="14">
        <f ca="1">'1RA SEGURIDAD PUBLICA'!K4</f>
        <v>0</v>
      </c>
      <c r="N16" s="14">
        <f ca="1">'1RA SEGURIDAD PUBLICA'!L4</f>
        <v>0</v>
      </c>
      <c r="O16" s="14">
        <f ca="1">'1RA SEGURIDAD PUBLICA'!M4</f>
        <v>0</v>
      </c>
      <c r="P16" s="14">
        <f ca="1">'1RA SEGURIDAD PUBLICA'!N4</f>
        <v>0</v>
      </c>
      <c r="Q16" s="14">
        <f ca="1">'1RA SEGURIDAD PUBLICA'!O4</f>
        <v>0</v>
      </c>
      <c r="R16" s="14">
        <f ca="1">'1RA SEGURIDAD PUBLICA'!P4</f>
        <v>0</v>
      </c>
      <c r="S16" s="14">
        <f ca="1">'1RA SEGURIDAD PUBLICA'!Q4</f>
        <v>0</v>
      </c>
      <c r="T16" s="14">
        <f ca="1">'1RA SEGURIDAD PUBLICA'!R4</f>
        <v>0</v>
      </c>
      <c r="U16" s="14">
        <f ca="1">'1RA SEGURIDAD PUBLICA'!S4</f>
        <v>0</v>
      </c>
    </row>
    <row r="17" spans="1:21" ht="39.75" customHeight="1">
      <c r="A17" s="53"/>
      <c r="B17" s="52" t="s">
        <v>43</v>
      </c>
      <c r="C17" s="12" t="s">
        <v>44</v>
      </c>
      <c r="D17" s="30">
        <v>300</v>
      </c>
      <c r="E17" s="10" t="str">
        <f ca="1">SIN1PERIODO!C5</f>
        <v xml:space="preserve">ASESORIAS </v>
      </c>
      <c r="F17" s="10" t="str">
        <f ca="1">SIN1PERIODO!D5</f>
        <v>ASCENDENTE</v>
      </c>
      <c r="G17" s="10" t="str">
        <f ca="1">SIN1PERIODO!E5</f>
        <v>BITACORA OPERATIVA</v>
      </c>
      <c r="H17" s="14">
        <f ca="1">'1RA SEGURIDAD PUBLICA'!F5</f>
        <v>0</v>
      </c>
      <c r="I17" s="14">
        <f ca="1">'1RA SEGURIDAD PUBLICA'!G5</f>
        <v>0</v>
      </c>
      <c r="J17" s="14">
        <f ca="1">'1RA SEGURIDAD PUBLICA'!H5</f>
        <v>0</v>
      </c>
      <c r="K17" s="14">
        <f ca="1">'1RA SEGURIDAD PUBLICA'!I5</f>
        <v>0</v>
      </c>
      <c r="L17" s="14">
        <f ca="1">'1RA SEGURIDAD PUBLICA'!J5</f>
        <v>0</v>
      </c>
      <c r="M17" s="14">
        <f ca="1">'1RA SEGURIDAD PUBLICA'!K5</f>
        <v>0</v>
      </c>
      <c r="N17" s="14">
        <f ca="1">'1RA SEGURIDAD PUBLICA'!L5</f>
        <v>0</v>
      </c>
      <c r="O17" s="14">
        <f ca="1">'1RA SEGURIDAD PUBLICA'!M5</f>
        <v>0</v>
      </c>
      <c r="P17" s="14">
        <f ca="1">'1RA SEGURIDAD PUBLICA'!N5</f>
        <v>0</v>
      </c>
      <c r="Q17" s="14">
        <f ca="1">'1RA SEGURIDAD PUBLICA'!O5</f>
        <v>0</v>
      </c>
      <c r="R17" s="14">
        <f ca="1">'1RA SEGURIDAD PUBLICA'!P5</f>
        <v>0</v>
      </c>
      <c r="S17" s="14">
        <f ca="1">'1RA SEGURIDAD PUBLICA'!Q5</f>
        <v>0</v>
      </c>
      <c r="T17" s="14">
        <f ca="1">'1RA SEGURIDAD PUBLICA'!R5</f>
        <v>0</v>
      </c>
      <c r="U17" s="14">
        <f ca="1">'1RA SEGURIDAD PUBLICA'!S5</f>
        <v>0</v>
      </c>
    </row>
    <row r="18" spans="1:21" ht="39.75" customHeight="1">
      <c r="A18" s="53"/>
      <c r="B18" s="51"/>
      <c r="C18" s="12" t="s">
        <v>45</v>
      </c>
      <c r="D18" s="30">
        <v>50</v>
      </c>
      <c r="E18" s="10" t="str">
        <f ca="1">SIN1PERIODO!C6</f>
        <v>NÚM. DE PERSONAS</v>
      </c>
      <c r="F18" s="10" t="str">
        <f ca="1">SIN1PERIODO!D6</f>
        <v>ASCENDENTE</v>
      </c>
      <c r="G18" s="10" t="str">
        <f ca="1">SIN1PERIODO!E6</f>
        <v>BITACORA OPERATIVA</v>
      </c>
      <c r="H18" s="14">
        <f ca="1">'1RA SEGURIDAD PUBLICA'!F6</f>
        <v>0</v>
      </c>
      <c r="I18" s="14">
        <f ca="1">'1RA SEGURIDAD PUBLICA'!G6</f>
        <v>0</v>
      </c>
      <c r="J18" s="14">
        <f ca="1">'1RA SEGURIDAD PUBLICA'!H6</f>
        <v>0</v>
      </c>
      <c r="K18" s="14">
        <f ca="1">'1RA SEGURIDAD PUBLICA'!I6</f>
        <v>0</v>
      </c>
      <c r="L18" s="14">
        <f ca="1">'1RA SEGURIDAD PUBLICA'!J6</f>
        <v>0</v>
      </c>
      <c r="M18" s="14">
        <f ca="1">'1RA SEGURIDAD PUBLICA'!K6</f>
        <v>0</v>
      </c>
      <c r="N18" s="14">
        <f ca="1">'1RA SEGURIDAD PUBLICA'!L6</f>
        <v>0</v>
      </c>
      <c r="O18" s="14">
        <f ca="1">'1RA SEGURIDAD PUBLICA'!M6</f>
        <v>0</v>
      </c>
      <c r="P18" s="14">
        <f ca="1">'1RA SEGURIDAD PUBLICA'!N6</f>
        <v>0</v>
      </c>
      <c r="Q18" s="14">
        <f ca="1">'1RA SEGURIDAD PUBLICA'!O6</f>
        <v>0</v>
      </c>
      <c r="R18" s="14">
        <f ca="1">'1RA SEGURIDAD PUBLICA'!P6</f>
        <v>0</v>
      </c>
      <c r="S18" s="14">
        <f ca="1">'1RA SEGURIDAD PUBLICA'!Q6</f>
        <v>0</v>
      </c>
      <c r="T18" s="14">
        <f ca="1">'1RA SEGURIDAD PUBLICA'!R6</f>
        <v>0</v>
      </c>
      <c r="U18" s="14">
        <f ca="1">'1RA SEGURIDAD PUBLICA'!S6</f>
        <v>0</v>
      </c>
    </row>
    <row r="19" spans="1:21" ht="39.75" customHeight="1">
      <c r="A19" s="53"/>
      <c r="B19" s="52" t="s">
        <v>46</v>
      </c>
      <c r="C19" s="12" t="s">
        <v>47</v>
      </c>
      <c r="D19" s="30">
        <v>35</v>
      </c>
      <c r="E19" s="10" t="str">
        <f ca="1">SIN1PERIODO!C7</f>
        <v>AUTOS</v>
      </c>
      <c r="F19" s="10" t="str">
        <f ca="1">SIN1PERIODO!D7</f>
        <v>DESCENDENTE</v>
      </c>
      <c r="G19" s="10" t="str">
        <f ca="1">SIN1PERIODO!E7</f>
        <v>BITACORA OPERATIVA</v>
      </c>
      <c r="H19" s="14">
        <f ca="1">'1RA SEGURIDAD PUBLICA'!F7</f>
        <v>0</v>
      </c>
      <c r="I19" s="14">
        <f ca="1">'1RA SEGURIDAD PUBLICA'!G7</f>
        <v>0</v>
      </c>
      <c r="J19" s="14">
        <f ca="1">'1RA SEGURIDAD PUBLICA'!H7</f>
        <v>0</v>
      </c>
      <c r="K19" s="14">
        <f ca="1">'1RA SEGURIDAD PUBLICA'!I7</f>
        <v>0</v>
      </c>
      <c r="L19" s="14">
        <f ca="1">'1RA SEGURIDAD PUBLICA'!J7</f>
        <v>0</v>
      </c>
      <c r="M19" s="14">
        <f ca="1">'1RA SEGURIDAD PUBLICA'!K7</f>
        <v>0</v>
      </c>
      <c r="N19" s="14">
        <f ca="1">'1RA SEGURIDAD PUBLICA'!L7</f>
        <v>0</v>
      </c>
      <c r="O19" s="14">
        <f ca="1">'1RA SEGURIDAD PUBLICA'!M7</f>
        <v>0</v>
      </c>
      <c r="P19" s="14">
        <f ca="1">'1RA SEGURIDAD PUBLICA'!N7</f>
        <v>0</v>
      </c>
      <c r="Q19" s="14">
        <f ca="1">'1RA SEGURIDAD PUBLICA'!O7</f>
        <v>0</v>
      </c>
      <c r="R19" s="14">
        <f ca="1">'1RA SEGURIDAD PUBLICA'!P7</f>
        <v>0</v>
      </c>
      <c r="S19" s="14">
        <f ca="1">'1RA SEGURIDAD PUBLICA'!Q7</f>
        <v>0</v>
      </c>
      <c r="T19" s="14">
        <f ca="1">'1RA SEGURIDAD PUBLICA'!R7</f>
        <v>0</v>
      </c>
      <c r="U19" s="14">
        <f ca="1">'1RA SEGURIDAD PUBLICA'!S7</f>
        <v>0</v>
      </c>
    </row>
    <row r="20" spans="1:21" ht="39.75" customHeight="1">
      <c r="A20" s="53"/>
      <c r="B20" s="53"/>
      <c r="C20" s="12" t="s">
        <v>48</v>
      </c>
      <c r="D20" s="30">
        <v>40</v>
      </c>
      <c r="E20" s="10" t="str">
        <f ca="1">SIN1PERIODO!C8</f>
        <v>MOTOCICLETAS</v>
      </c>
      <c r="F20" s="10" t="str">
        <f ca="1">SIN1PERIODO!D8</f>
        <v>DESCENDENTE</v>
      </c>
      <c r="G20" s="10" t="str">
        <f ca="1">SIN1PERIODO!E8</f>
        <v>BITACORA OPERATIVA</v>
      </c>
      <c r="H20" s="14">
        <f ca="1">'1RA SEGURIDAD PUBLICA'!F8</f>
        <v>0</v>
      </c>
      <c r="I20" s="14">
        <f ca="1">'1RA SEGURIDAD PUBLICA'!G8</f>
        <v>0</v>
      </c>
      <c r="J20" s="14">
        <f ca="1">'1RA SEGURIDAD PUBLICA'!H8</f>
        <v>0</v>
      </c>
      <c r="K20" s="14">
        <f ca="1">'1RA SEGURIDAD PUBLICA'!I8</f>
        <v>0</v>
      </c>
      <c r="L20" s="14">
        <f ca="1">'1RA SEGURIDAD PUBLICA'!J8</f>
        <v>0</v>
      </c>
      <c r="M20" s="14">
        <f ca="1">'1RA SEGURIDAD PUBLICA'!K8</f>
        <v>0</v>
      </c>
      <c r="N20" s="14">
        <f ca="1">'1RA SEGURIDAD PUBLICA'!L8</f>
        <v>0</v>
      </c>
      <c r="O20" s="14">
        <f ca="1">'1RA SEGURIDAD PUBLICA'!M8</f>
        <v>0</v>
      </c>
      <c r="P20" s="14">
        <f ca="1">'1RA SEGURIDAD PUBLICA'!N8</f>
        <v>0</v>
      </c>
      <c r="Q20" s="14">
        <f ca="1">'1RA SEGURIDAD PUBLICA'!O8</f>
        <v>0</v>
      </c>
      <c r="R20" s="14">
        <f ca="1">'1RA SEGURIDAD PUBLICA'!P8</f>
        <v>0</v>
      </c>
      <c r="S20" s="14">
        <f ca="1">'1RA SEGURIDAD PUBLICA'!Q8</f>
        <v>0</v>
      </c>
      <c r="T20" s="14">
        <f ca="1">'1RA SEGURIDAD PUBLICA'!R8</f>
        <v>0</v>
      </c>
      <c r="U20" s="14">
        <f ca="1">'1RA SEGURIDAD PUBLICA'!S8</f>
        <v>0</v>
      </c>
    </row>
    <row r="21" spans="1:21" ht="39.75" customHeight="1">
      <c r="A21" s="51"/>
      <c r="B21" s="51"/>
      <c r="C21" s="12" t="s">
        <v>49</v>
      </c>
      <c r="D21" s="30">
        <v>120</v>
      </c>
      <c r="E21" s="10" t="str">
        <f ca="1">SIN1PERIODO!C9</f>
        <v>NÚM. DE PERSONAS</v>
      </c>
      <c r="F21" s="10" t="str">
        <f ca="1">SIN1PERIODO!D9</f>
        <v>DESCENDENTE</v>
      </c>
      <c r="G21" s="10" t="str">
        <f ca="1">SIN1PERIODO!E9</f>
        <v>BITACORA OPERATIVA</v>
      </c>
      <c r="H21" s="14">
        <f ca="1">'1RA SEGURIDAD PUBLICA'!F9</f>
        <v>0</v>
      </c>
      <c r="I21" s="14">
        <f ca="1">'1RA SEGURIDAD PUBLICA'!G9</f>
        <v>0</v>
      </c>
      <c r="J21" s="14">
        <f ca="1">'1RA SEGURIDAD PUBLICA'!H9</f>
        <v>0</v>
      </c>
      <c r="K21" s="14">
        <f ca="1">'1RA SEGURIDAD PUBLICA'!I9</f>
        <v>0</v>
      </c>
      <c r="L21" s="14">
        <f ca="1">'1RA SEGURIDAD PUBLICA'!J9</f>
        <v>0</v>
      </c>
      <c r="M21" s="14">
        <f ca="1">'1RA SEGURIDAD PUBLICA'!K9</f>
        <v>0</v>
      </c>
      <c r="N21" s="14">
        <f ca="1">'1RA SEGURIDAD PUBLICA'!L9</f>
        <v>0</v>
      </c>
      <c r="O21" s="14">
        <f ca="1">'1RA SEGURIDAD PUBLICA'!M9</f>
        <v>0</v>
      </c>
      <c r="P21" s="14">
        <f ca="1">'1RA SEGURIDAD PUBLICA'!N9</f>
        <v>0</v>
      </c>
      <c r="Q21" s="14">
        <f ca="1">'1RA SEGURIDAD PUBLICA'!O9</f>
        <v>0</v>
      </c>
      <c r="R21" s="14">
        <f ca="1">'1RA SEGURIDAD PUBLICA'!P9</f>
        <v>0</v>
      </c>
      <c r="S21" s="14">
        <f ca="1">'1RA SEGURIDAD PUBLICA'!Q9</f>
        <v>0</v>
      </c>
      <c r="T21" s="14">
        <f ca="1">'1RA SEGURIDAD PUBLICA'!R9</f>
        <v>0</v>
      </c>
      <c r="U21" s="14">
        <f ca="1">'1RA SEGURIDAD PUBLICA'!S9</f>
        <v>0</v>
      </c>
    </row>
    <row r="22" spans="1:21" ht="39.75" customHeight="1">
      <c r="A22" s="55" t="s">
        <v>50</v>
      </c>
      <c r="B22" s="55" t="s">
        <v>50</v>
      </c>
      <c r="C22" s="7" t="s">
        <v>51</v>
      </c>
      <c r="D22" s="10">
        <f ca="1">SECGEN1PERIODO!B2</f>
        <v>15</v>
      </c>
      <c r="E22" s="10" t="str">
        <f ca="1">SECGEN1PERIODO!C2</f>
        <v>SESIONES</v>
      </c>
      <c r="F22" s="10" t="str">
        <f ca="1">SECGEN1PERIODO!D2</f>
        <v>ASCENDENTE</v>
      </c>
      <c r="G22" s="10" t="str">
        <f ca="1">SECGEN1PERIODO!E2</f>
        <v>SESIONES PUBLICAS</v>
      </c>
      <c r="H22" s="14">
        <f ca="1">'1RA SEGURIDAD PUBLICA'!F10</f>
        <v>0</v>
      </c>
      <c r="I22" s="14">
        <f ca="1">'1RA SEGURIDAD PUBLICA'!G10</f>
        <v>0</v>
      </c>
      <c r="J22" s="14">
        <f ca="1">'1RA SEGURIDAD PUBLICA'!H10</f>
        <v>0</v>
      </c>
      <c r="K22" s="14">
        <f ca="1">'1RA SEGURIDAD PUBLICA'!I10</f>
        <v>0</v>
      </c>
      <c r="L22" s="14">
        <f ca="1">'1RA SEGURIDAD PUBLICA'!J10</f>
        <v>0</v>
      </c>
      <c r="M22" s="14">
        <f ca="1">'1RA SEGURIDAD PUBLICA'!K10</f>
        <v>0</v>
      </c>
      <c r="N22" s="14">
        <f ca="1">'1RA SEGURIDAD PUBLICA'!L10</f>
        <v>0</v>
      </c>
      <c r="O22" s="14">
        <f ca="1">'1RA SEGURIDAD PUBLICA'!M10</f>
        <v>0</v>
      </c>
      <c r="P22" s="14">
        <f ca="1">'1RA SEGURIDAD PUBLICA'!N10</f>
        <v>0</v>
      </c>
      <c r="Q22" s="14">
        <f ca="1">'1RA SEGURIDAD PUBLICA'!O10</f>
        <v>0</v>
      </c>
      <c r="R22" s="14">
        <f ca="1">'1RA SEGURIDAD PUBLICA'!P10</f>
        <v>0</v>
      </c>
      <c r="S22" s="14">
        <f ca="1">'1RA SEGURIDAD PUBLICA'!Q10</f>
        <v>0</v>
      </c>
      <c r="T22" s="14">
        <f ca="1">'1RA SEGURIDAD PUBLICA'!R10</f>
        <v>0</v>
      </c>
      <c r="U22" s="14">
        <f ca="1">'1RA SEGURIDAD PUBLICA'!S10</f>
        <v>0</v>
      </c>
    </row>
    <row r="23" spans="1:21" ht="39.75" customHeight="1">
      <c r="A23" s="53"/>
      <c r="B23" s="53"/>
      <c r="C23" s="7" t="s">
        <v>52</v>
      </c>
      <c r="D23" s="10">
        <f ca="1">SECGEN1PERIODO!B3</f>
        <v>1200</v>
      </c>
      <c r="E23" s="10" t="str">
        <f ca="1">SECGEN1PERIODO!C3</f>
        <v>CONSTANCIAS</v>
      </c>
      <c r="F23" s="10" t="str">
        <f ca="1">SECGEN1PERIODO!D3</f>
        <v>ASCENDENTE</v>
      </c>
      <c r="G23" s="10" t="str">
        <f ca="1">SECGEN1PERIODO!E3</f>
        <v>BITACORA DE ATENCION</v>
      </c>
      <c r="H23" s="14">
        <f ca="1">'1RA SEGURIDAD PUBLICA'!F11</f>
        <v>0</v>
      </c>
      <c r="I23" s="14">
        <f ca="1">'1RA SEGURIDAD PUBLICA'!G11</f>
        <v>0</v>
      </c>
      <c r="J23" s="14">
        <f ca="1">'1RA SEGURIDAD PUBLICA'!H11</f>
        <v>0</v>
      </c>
      <c r="K23" s="14">
        <f ca="1">'1RA SEGURIDAD PUBLICA'!I11</f>
        <v>0</v>
      </c>
      <c r="L23" s="14">
        <f ca="1">'1RA SEGURIDAD PUBLICA'!J11</f>
        <v>0</v>
      </c>
      <c r="M23" s="14">
        <f ca="1">'1RA SEGURIDAD PUBLICA'!K11</f>
        <v>0</v>
      </c>
      <c r="N23" s="14">
        <f ca="1">'1RA SEGURIDAD PUBLICA'!L11</f>
        <v>0</v>
      </c>
      <c r="O23" s="14">
        <f ca="1">'1RA SEGURIDAD PUBLICA'!M11</f>
        <v>0</v>
      </c>
      <c r="P23" s="14">
        <f ca="1">'1RA SEGURIDAD PUBLICA'!N11</f>
        <v>0</v>
      </c>
      <c r="Q23" s="14">
        <f ca="1">'1RA SEGURIDAD PUBLICA'!O11</f>
        <v>0</v>
      </c>
      <c r="R23" s="14">
        <f ca="1">'1RA SEGURIDAD PUBLICA'!P11</f>
        <v>0</v>
      </c>
      <c r="S23" s="14">
        <f ca="1">'1RA SEGURIDAD PUBLICA'!Q11</f>
        <v>0</v>
      </c>
      <c r="T23" s="14">
        <f ca="1">'1RA SEGURIDAD PUBLICA'!R11</f>
        <v>0</v>
      </c>
      <c r="U23" s="14">
        <f ca="1">'1RA SEGURIDAD PUBLICA'!S11</f>
        <v>0</v>
      </c>
    </row>
    <row r="24" spans="1:21" ht="39.75" customHeight="1">
      <c r="A24" s="53"/>
      <c r="B24" s="51"/>
      <c r="C24" s="7" t="s">
        <v>53</v>
      </c>
      <c r="D24" s="10">
        <f ca="1">SECGEN1PERIODO!B4</f>
        <v>80</v>
      </c>
      <c r="E24" s="10" t="str">
        <f ca="1">SECGEN1PERIODO!C4</f>
        <v xml:space="preserve">PRECARTILLAS </v>
      </c>
      <c r="F24" s="10" t="str">
        <f ca="1">SECGEN1PERIODO!D4</f>
        <v>ASCENDENTE</v>
      </c>
      <c r="G24" s="10" t="str">
        <f ca="1">SECGEN1PERIODO!E4</f>
        <v>BITACORA DE ATENCION</v>
      </c>
      <c r="H24" s="14">
        <f ca="1">'1RA SEGURIDAD PUBLICA'!F12</f>
        <v>0</v>
      </c>
      <c r="I24" s="14">
        <f ca="1">'1RA SEGURIDAD PUBLICA'!G12</f>
        <v>0</v>
      </c>
      <c r="J24" s="14">
        <f ca="1">'1RA SEGURIDAD PUBLICA'!H12</f>
        <v>0</v>
      </c>
      <c r="K24" s="14">
        <f ca="1">'1RA SEGURIDAD PUBLICA'!I12</f>
        <v>0</v>
      </c>
      <c r="L24" s="14">
        <f ca="1">'1RA SEGURIDAD PUBLICA'!J12</f>
        <v>0</v>
      </c>
      <c r="M24" s="14">
        <f ca="1">'1RA SEGURIDAD PUBLICA'!K12</f>
        <v>0</v>
      </c>
      <c r="N24" s="14">
        <f ca="1">'1RA SEGURIDAD PUBLICA'!L12</f>
        <v>0</v>
      </c>
      <c r="O24" s="14">
        <f ca="1">'1RA SEGURIDAD PUBLICA'!M12</f>
        <v>0</v>
      </c>
      <c r="P24" s="14">
        <f ca="1">'1RA SEGURIDAD PUBLICA'!N12</f>
        <v>0</v>
      </c>
      <c r="Q24" s="14">
        <f ca="1">'1RA SEGURIDAD PUBLICA'!O12</f>
        <v>0</v>
      </c>
      <c r="R24" s="14">
        <f ca="1">'1RA SEGURIDAD PUBLICA'!P12</f>
        <v>0</v>
      </c>
      <c r="S24" s="14">
        <f ca="1">'1RA SEGURIDAD PUBLICA'!Q12</f>
        <v>0</v>
      </c>
      <c r="T24" s="14">
        <f ca="1">'1RA SEGURIDAD PUBLICA'!R12</f>
        <v>0</v>
      </c>
      <c r="U24" s="14">
        <f ca="1">'1RA SEGURIDAD PUBLICA'!S12</f>
        <v>0</v>
      </c>
    </row>
    <row r="25" spans="1:21" ht="39.75" customHeight="1">
      <c r="A25" s="53"/>
      <c r="B25" s="55" t="s">
        <v>54</v>
      </c>
      <c r="C25" s="7" t="s">
        <v>55</v>
      </c>
      <c r="D25" s="10">
        <f ca="1">SECGEN1PERIODO!B5</f>
        <v>15</v>
      </c>
      <c r="E25" s="10" t="str">
        <f ca="1">SECGEN1PERIODO!C5</f>
        <v>TITULOS</v>
      </c>
      <c r="F25" s="10" t="str">
        <f ca="1">SECGEN1PERIODO!D5</f>
        <v>ASCENDENTE</v>
      </c>
      <c r="G25" s="10" t="str">
        <f ca="1">SECGEN1PERIODO!E5</f>
        <v>BITACORA OPERATIVA</v>
      </c>
      <c r="H25" s="14">
        <f ca="1">'1RA SEGURIDAD PUBLICA'!F13</f>
        <v>0</v>
      </c>
      <c r="I25" s="14">
        <f ca="1">'1RA SEGURIDAD PUBLICA'!G13</f>
        <v>0</v>
      </c>
      <c r="J25" s="14">
        <f ca="1">'1RA SEGURIDAD PUBLICA'!H13</f>
        <v>0</v>
      </c>
      <c r="K25" s="14">
        <f ca="1">'1RA SEGURIDAD PUBLICA'!I13</f>
        <v>0</v>
      </c>
      <c r="L25" s="14">
        <f ca="1">'1RA SEGURIDAD PUBLICA'!J13</f>
        <v>0</v>
      </c>
      <c r="M25" s="14">
        <f ca="1">'1RA SEGURIDAD PUBLICA'!K13</f>
        <v>0</v>
      </c>
      <c r="N25" s="14">
        <f ca="1">'1RA SEGURIDAD PUBLICA'!L13</f>
        <v>0</v>
      </c>
      <c r="O25" s="14">
        <f ca="1">'1RA SEGURIDAD PUBLICA'!M13</f>
        <v>0</v>
      </c>
      <c r="P25" s="14">
        <f ca="1">'1RA SEGURIDAD PUBLICA'!N13</f>
        <v>0</v>
      </c>
      <c r="Q25" s="14">
        <f ca="1">'1RA SEGURIDAD PUBLICA'!O13</f>
        <v>0</v>
      </c>
      <c r="R25" s="14">
        <f ca="1">'1RA SEGURIDAD PUBLICA'!P13</f>
        <v>0</v>
      </c>
      <c r="S25" s="14">
        <f ca="1">'1RA SEGURIDAD PUBLICA'!Q13</f>
        <v>0</v>
      </c>
      <c r="T25" s="14">
        <f ca="1">'1RA SEGURIDAD PUBLICA'!R13</f>
        <v>0</v>
      </c>
      <c r="U25" s="14">
        <f ca="1">'1RA SEGURIDAD PUBLICA'!S13</f>
        <v>0</v>
      </c>
    </row>
    <row r="26" spans="1:21" ht="39.75" customHeight="1">
      <c r="A26" s="53"/>
      <c r="B26" s="53"/>
      <c r="C26" s="7" t="s">
        <v>56</v>
      </c>
      <c r="D26" s="10">
        <f ca="1">SECGEN1PERIODO!B6</f>
        <v>30</v>
      </c>
      <c r="E26" s="10" t="str">
        <f ca="1">SECGEN1PERIODO!C6</f>
        <v>EXHUMACIONES</v>
      </c>
      <c r="F26" s="10" t="str">
        <f ca="1">SECGEN1PERIODO!D6</f>
        <v>ASCENDENTE</v>
      </c>
      <c r="G26" s="10" t="str">
        <f ca="1">SECGEN1PERIODO!E6</f>
        <v>BITACORA OPERATIVA</v>
      </c>
      <c r="H26" s="14">
        <f ca="1">'1RA SEGURIDAD PUBLICA'!F14</f>
        <v>0</v>
      </c>
      <c r="I26" s="14">
        <f ca="1">'1RA SEGURIDAD PUBLICA'!G14</f>
        <v>0</v>
      </c>
      <c r="J26" s="14">
        <f ca="1">'1RA SEGURIDAD PUBLICA'!H14</f>
        <v>0</v>
      </c>
      <c r="K26" s="14">
        <f ca="1">'1RA SEGURIDAD PUBLICA'!I14</f>
        <v>0</v>
      </c>
      <c r="L26" s="14">
        <f ca="1">'1RA SEGURIDAD PUBLICA'!J14</f>
        <v>0</v>
      </c>
      <c r="M26" s="14">
        <f ca="1">'1RA SEGURIDAD PUBLICA'!K14</f>
        <v>0</v>
      </c>
      <c r="N26" s="14">
        <f ca="1">'1RA SEGURIDAD PUBLICA'!L14</f>
        <v>0</v>
      </c>
      <c r="O26" s="14">
        <f ca="1">'1RA SEGURIDAD PUBLICA'!M14</f>
        <v>0</v>
      </c>
      <c r="P26" s="14">
        <f ca="1">'1RA SEGURIDAD PUBLICA'!N14</f>
        <v>0</v>
      </c>
      <c r="Q26" s="14">
        <f ca="1">'1RA SEGURIDAD PUBLICA'!O14</f>
        <v>0</v>
      </c>
      <c r="R26" s="14">
        <f ca="1">'1RA SEGURIDAD PUBLICA'!P14</f>
        <v>0</v>
      </c>
      <c r="S26" s="14">
        <f ca="1">'1RA SEGURIDAD PUBLICA'!Q14</f>
        <v>0</v>
      </c>
      <c r="T26" s="14">
        <f ca="1">'1RA SEGURIDAD PUBLICA'!R14</f>
        <v>0</v>
      </c>
      <c r="U26" s="14">
        <f ca="1">'1RA SEGURIDAD PUBLICA'!S14</f>
        <v>0</v>
      </c>
    </row>
    <row r="27" spans="1:21" ht="39.75" customHeight="1">
      <c r="A27" s="53"/>
      <c r="B27" s="53"/>
      <c r="C27" s="7" t="s">
        <v>57</v>
      </c>
      <c r="D27" s="10">
        <f ca="1">SECGEN1PERIODO!B7</f>
        <v>12</v>
      </c>
      <c r="E27" s="10" t="str">
        <f ca="1">SECGEN1PERIODO!C7</f>
        <v>CAMBIOS</v>
      </c>
      <c r="F27" s="10" t="str">
        <f ca="1">SECGEN1PERIODO!D7</f>
        <v>ASCENDENTE</v>
      </c>
      <c r="G27" s="10" t="str">
        <f ca="1">SECGEN1PERIODO!E7</f>
        <v>BITACORA OPERATIVA</v>
      </c>
      <c r="H27" s="14">
        <f ca="1">'1RA SEGURIDAD PUBLICA'!F15</f>
        <v>0</v>
      </c>
      <c r="I27" s="14">
        <f ca="1">'1RA SEGURIDAD PUBLICA'!G15</f>
        <v>0</v>
      </c>
      <c r="J27" s="14">
        <f ca="1">'1RA SEGURIDAD PUBLICA'!H15</f>
        <v>0</v>
      </c>
      <c r="K27" s="14">
        <f ca="1">'1RA SEGURIDAD PUBLICA'!I15</f>
        <v>0</v>
      </c>
      <c r="L27" s="14">
        <f ca="1">'1RA SEGURIDAD PUBLICA'!J15</f>
        <v>0</v>
      </c>
      <c r="M27" s="14">
        <f ca="1">'1RA SEGURIDAD PUBLICA'!K15</f>
        <v>0</v>
      </c>
      <c r="N27" s="14">
        <f ca="1">'1RA SEGURIDAD PUBLICA'!L15</f>
        <v>0</v>
      </c>
      <c r="O27" s="14">
        <f ca="1">'1RA SEGURIDAD PUBLICA'!M15</f>
        <v>0</v>
      </c>
      <c r="P27" s="14">
        <f ca="1">'1RA SEGURIDAD PUBLICA'!N15</f>
        <v>0</v>
      </c>
      <c r="Q27" s="14">
        <f ca="1">'1RA SEGURIDAD PUBLICA'!O15</f>
        <v>0</v>
      </c>
      <c r="R27" s="14">
        <f ca="1">'1RA SEGURIDAD PUBLICA'!P15</f>
        <v>0</v>
      </c>
      <c r="S27" s="14">
        <f ca="1">'1RA SEGURIDAD PUBLICA'!Q15</f>
        <v>0</v>
      </c>
      <c r="T27" s="14">
        <f ca="1">'1RA SEGURIDAD PUBLICA'!R15</f>
        <v>0</v>
      </c>
      <c r="U27" s="14">
        <f ca="1">'1RA SEGURIDAD PUBLICA'!S15</f>
        <v>0</v>
      </c>
    </row>
    <row r="28" spans="1:21" ht="39.75" customHeight="1">
      <c r="A28" s="53"/>
      <c r="B28" s="53"/>
      <c r="C28" s="7" t="s">
        <v>58</v>
      </c>
      <c r="D28" s="10">
        <f ca="1">SECGEN1PERIODO!B8</f>
        <v>520</v>
      </c>
      <c r="E28" s="10" t="str">
        <f ca="1">SECGEN1PERIODO!C8</f>
        <v>MANTENIMIENTOS</v>
      </c>
      <c r="F28" s="10" t="str">
        <f ca="1">SECGEN1PERIODO!D8</f>
        <v>ASCENDENTE</v>
      </c>
      <c r="G28" s="10" t="str">
        <f ca="1">SECGEN1PERIODO!E8</f>
        <v>BITACORA OPERATIVA</v>
      </c>
      <c r="H28" s="14">
        <f ca="1">'1RA SEGURIDAD PUBLICA'!F16</f>
        <v>0</v>
      </c>
      <c r="I28" s="14">
        <f ca="1">'1RA SEGURIDAD PUBLICA'!G16</f>
        <v>0</v>
      </c>
      <c r="J28" s="14">
        <f ca="1">'1RA SEGURIDAD PUBLICA'!H16</f>
        <v>0</v>
      </c>
      <c r="K28" s="14">
        <f ca="1">'1RA SEGURIDAD PUBLICA'!I16</f>
        <v>0</v>
      </c>
      <c r="L28" s="14">
        <f ca="1">'1RA SEGURIDAD PUBLICA'!J16</f>
        <v>0</v>
      </c>
      <c r="M28" s="14">
        <f ca="1">'1RA SEGURIDAD PUBLICA'!K16</f>
        <v>0</v>
      </c>
      <c r="N28" s="14">
        <f ca="1">'1RA SEGURIDAD PUBLICA'!L16</f>
        <v>0</v>
      </c>
      <c r="O28" s="14">
        <f ca="1">'1RA SEGURIDAD PUBLICA'!M16</f>
        <v>0</v>
      </c>
      <c r="P28" s="14">
        <f ca="1">'1RA SEGURIDAD PUBLICA'!N16</f>
        <v>0</v>
      </c>
      <c r="Q28" s="14">
        <f ca="1">'1RA SEGURIDAD PUBLICA'!O16</f>
        <v>0</v>
      </c>
      <c r="R28" s="14">
        <f ca="1">'1RA SEGURIDAD PUBLICA'!P16</f>
        <v>0</v>
      </c>
      <c r="S28" s="14">
        <f ca="1">'1RA SEGURIDAD PUBLICA'!Q16</f>
        <v>0</v>
      </c>
      <c r="T28" s="14">
        <f ca="1">'1RA SEGURIDAD PUBLICA'!R16</f>
        <v>0</v>
      </c>
      <c r="U28" s="14">
        <f ca="1">'1RA SEGURIDAD PUBLICA'!S16</f>
        <v>0</v>
      </c>
    </row>
    <row r="29" spans="1:21" ht="39.75" customHeight="1">
      <c r="A29" s="53"/>
      <c r="B29" s="51"/>
      <c r="C29" s="7" t="s">
        <v>59</v>
      </c>
      <c r="D29" s="10">
        <f ca="1">SECGEN1PERIODO!B9</f>
        <v>500</v>
      </c>
      <c r="E29" s="10" t="str">
        <f ca="1">SECGEN1PERIODO!C9</f>
        <v>TRAMITES REALIZADOS</v>
      </c>
      <c r="F29" s="10" t="str">
        <f ca="1">SECGEN1PERIODO!D9</f>
        <v>ASCENDENTE</v>
      </c>
      <c r="G29" s="10" t="str">
        <f ca="1">SECGEN1PERIODO!E9</f>
        <v>BITACORA OPERATIVA</v>
      </c>
      <c r="H29" s="14">
        <f ca="1">'1RA SEGURIDAD PUBLICA'!F17</f>
        <v>0</v>
      </c>
      <c r="I29" s="14">
        <f ca="1">'1RA SEGURIDAD PUBLICA'!G17</f>
        <v>0</v>
      </c>
      <c r="J29" s="14">
        <f ca="1">'1RA SEGURIDAD PUBLICA'!H17</f>
        <v>0</v>
      </c>
      <c r="K29" s="14">
        <f ca="1">'1RA SEGURIDAD PUBLICA'!I17</f>
        <v>0</v>
      </c>
      <c r="L29" s="14">
        <f ca="1">'1RA SEGURIDAD PUBLICA'!J17</f>
        <v>0</v>
      </c>
      <c r="M29" s="14">
        <f ca="1">'1RA SEGURIDAD PUBLICA'!K17</f>
        <v>0</v>
      </c>
      <c r="N29" s="14">
        <f ca="1">'1RA SEGURIDAD PUBLICA'!L17</f>
        <v>0</v>
      </c>
      <c r="O29" s="14">
        <f ca="1">'1RA SEGURIDAD PUBLICA'!M17</f>
        <v>0</v>
      </c>
      <c r="P29" s="14">
        <f ca="1">'1RA SEGURIDAD PUBLICA'!N17</f>
        <v>0</v>
      </c>
      <c r="Q29" s="14">
        <f ca="1">'1RA SEGURIDAD PUBLICA'!O17</f>
        <v>0</v>
      </c>
      <c r="R29" s="14">
        <f ca="1">'1RA SEGURIDAD PUBLICA'!P17</f>
        <v>0</v>
      </c>
      <c r="S29" s="14">
        <f ca="1">'1RA SEGURIDAD PUBLICA'!Q17</f>
        <v>0</v>
      </c>
      <c r="T29" s="14">
        <f ca="1">'1RA SEGURIDAD PUBLICA'!R17</f>
        <v>0</v>
      </c>
      <c r="U29" s="14">
        <f ca="1">'1RA SEGURIDAD PUBLICA'!S17</f>
        <v>0</v>
      </c>
    </row>
    <row r="30" spans="1:21" ht="39.75" customHeight="1">
      <c r="A30" s="53"/>
      <c r="B30" s="55" t="s">
        <v>60</v>
      </c>
      <c r="C30" s="7" t="s">
        <v>61</v>
      </c>
      <c r="D30" s="10">
        <f ca="1">SECGEN1PERIODO!B10</f>
        <v>1100</v>
      </c>
      <c r="E30" s="10" t="str">
        <f ca="1">SECGEN1PERIODO!C10</f>
        <v>NACIMIENTOS</v>
      </c>
      <c r="F30" s="10" t="str">
        <f ca="1">SECGEN1PERIODO!D10</f>
        <v>ASCENDENTE</v>
      </c>
      <c r="G30" s="10" t="str">
        <f ca="1">SECGEN1PERIODO!E10</f>
        <v>BITACORA OPERATIVA</v>
      </c>
      <c r="H30" s="14">
        <f ca="1">'1RA SEGURIDAD PUBLICA'!F18</f>
        <v>0</v>
      </c>
      <c r="I30" s="14">
        <f ca="1">'1RA SEGURIDAD PUBLICA'!G18</f>
        <v>0</v>
      </c>
      <c r="J30" s="14">
        <f ca="1">'1RA SEGURIDAD PUBLICA'!H18</f>
        <v>0</v>
      </c>
      <c r="K30" s="14">
        <f ca="1">'1RA SEGURIDAD PUBLICA'!I18</f>
        <v>0</v>
      </c>
      <c r="L30" s="14">
        <f ca="1">'1RA SEGURIDAD PUBLICA'!J18</f>
        <v>0</v>
      </c>
      <c r="M30" s="14">
        <f ca="1">'1RA SEGURIDAD PUBLICA'!K18</f>
        <v>0</v>
      </c>
      <c r="N30" s="14">
        <f ca="1">'1RA SEGURIDAD PUBLICA'!L18</f>
        <v>0</v>
      </c>
      <c r="O30" s="14">
        <f ca="1">'1RA SEGURIDAD PUBLICA'!M18</f>
        <v>0</v>
      </c>
      <c r="P30" s="14">
        <f ca="1">'1RA SEGURIDAD PUBLICA'!N18</f>
        <v>0</v>
      </c>
      <c r="Q30" s="14">
        <f ca="1">'1RA SEGURIDAD PUBLICA'!O18</f>
        <v>0</v>
      </c>
      <c r="R30" s="14">
        <f ca="1">'1RA SEGURIDAD PUBLICA'!P18</f>
        <v>0</v>
      </c>
      <c r="S30" s="14">
        <f ca="1">'1RA SEGURIDAD PUBLICA'!Q18</f>
        <v>0</v>
      </c>
      <c r="T30" s="14">
        <f ca="1">'1RA SEGURIDAD PUBLICA'!R18</f>
        <v>0</v>
      </c>
      <c r="U30" s="14">
        <f ca="1">'1RA SEGURIDAD PUBLICA'!S18</f>
        <v>0</v>
      </c>
    </row>
    <row r="31" spans="1:21" ht="39.75" customHeight="1">
      <c r="A31" s="53"/>
      <c r="B31" s="53"/>
      <c r="C31" s="7" t="s">
        <v>62</v>
      </c>
      <c r="D31" s="10">
        <f ca="1">SECGEN1PERIODO!B11</f>
        <v>980</v>
      </c>
      <c r="E31" s="10" t="str">
        <f ca="1">SECGEN1PERIODO!C11</f>
        <v>DEFUNCIONES</v>
      </c>
      <c r="F31" s="10" t="str">
        <f ca="1">SECGEN1PERIODO!D11</f>
        <v>ASCENDENTE</v>
      </c>
      <c r="G31" s="10" t="str">
        <f ca="1">SECGEN1PERIODO!E11</f>
        <v>BITACORA OPERATIVA</v>
      </c>
      <c r="H31" s="14">
        <f ca="1">'1RA SEGURIDAD PUBLICA'!F19</f>
        <v>0</v>
      </c>
      <c r="I31" s="14">
        <f ca="1">'1RA SEGURIDAD PUBLICA'!G19</f>
        <v>0</v>
      </c>
      <c r="J31" s="14">
        <f ca="1">'1RA SEGURIDAD PUBLICA'!H19</f>
        <v>0</v>
      </c>
      <c r="K31" s="14">
        <f ca="1">'1RA SEGURIDAD PUBLICA'!I19</f>
        <v>0</v>
      </c>
      <c r="L31" s="14">
        <f ca="1">'1RA SEGURIDAD PUBLICA'!J19</f>
        <v>0</v>
      </c>
      <c r="M31" s="14">
        <f ca="1">'1RA SEGURIDAD PUBLICA'!K19</f>
        <v>0</v>
      </c>
      <c r="N31" s="14">
        <f ca="1">'1RA SEGURIDAD PUBLICA'!L19</f>
        <v>0</v>
      </c>
      <c r="O31" s="14">
        <f ca="1">'1RA SEGURIDAD PUBLICA'!M19</f>
        <v>0</v>
      </c>
      <c r="P31" s="14">
        <f ca="1">'1RA SEGURIDAD PUBLICA'!N19</f>
        <v>0</v>
      </c>
      <c r="Q31" s="14">
        <f ca="1">'1RA SEGURIDAD PUBLICA'!O19</f>
        <v>0</v>
      </c>
      <c r="R31" s="14">
        <f ca="1">'1RA SEGURIDAD PUBLICA'!P19</f>
        <v>0</v>
      </c>
      <c r="S31" s="14">
        <f ca="1">'1RA SEGURIDAD PUBLICA'!Q19</f>
        <v>0</v>
      </c>
      <c r="T31" s="14">
        <f ca="1">'1RA SEGURIDAD PUBLICA'!R19</f>
        <v>0</v>
      </c>
      <c r="U31" s="14">
        <f ca="1">'1RA SEGURIDAD PUBLICA'!S19</f>
        <v>0</v>
      </c>
    </row>
    <row r="32" spans="1:21" ht="39.75" customHeight="1">
      <c r="A32" s="53"/>
      <c r="B32" s="53"/>
      <c r="C32" s="7" t="s">
        <v>63</v>
      </c>
      <c r="D32" s="10">
        <f ca="1">SECGEN1PERIODO!B12</f>
        <v>70</v>
      </c>
      <c r="E32" s="10" t="str">
        <f ca="1">SECGEN1PERIODO!C12</f>
        <v>DIVORCIOS</v>
      </c>
      <c r="F32" s="10" t="str">
        <f ca="1">SECGEN1PERIODO!D12</f>
        <v>ASCENDENTE</v>
      </c>
      <c r="G32" s="10" t="str">
        <f ca="1">SECGEN1PERIODO!E12</f>
        <v>BITACORA OPERATIVA</v>
      </c>
      <c r="H32" s="14">
        <f ca="1">'1RA SEGURIDAD PUBLICA'!F20</f>
        <v>0</v>
      </c>
      <c r="I32" s="14">
        <f ca="1">'1RA SEGURIDAD PUBLICA'!G20</f>
        <v>0</v>
      </c>
      <c r="J32" s="14">
        <f ca="1">'1RA SEGURIDAD PUBLICA'!H20</f>
        <v>0</v>
      </c>
      <c r="K32" s="14">
        <f ca="1">'1RA SEGURIDAD PUBLICA'!I20</f>
        <v>0</v>
      </c>
      <c r="L32" s="14">
        <f ca="1">'1RA SEGURIDAD PUBLICA'!J20</f>
        <v>0</v>
      </c>
      <c r="M32" s="14">
        <f ca="1">'1RA SEGURIDAD PUBLICA'!K20</f>
        <v>0</v>
      </c>
      <c r="N32" s="14">
        <f ca="1">'1RA SEGURIDAD PUBLICA'!L20</f>
        <v>0</v>
      </c>
      <c r="O32" s="14">
        <f ca="1">'1RA SEGURIDAD PUBLICA'!M20</f>
        <v>0</v>
      </c>
      <c r="P32" s="14">
        <f ca="1">'1RA SEGURIDAD PUBLICA'!N20</f>
        <v>0</v>
      </c>
      <c r="Q32" s="14">
        <f ca="1">'1RA SEGURIDAD PUBLICA'!O20</f>
        <v>0</v>
      </c>
      <c r="R32" s="14">
        <f ca="1">'1RA SEGURIDAD PUBLICA'!P20</f>
        <v>0</v>
      </c>
      <c r="S32" s="14">
        <f ca="1">'1RA SEGURIDAD PUBLICA'!Q20</f>
        <v>0</v>
      </c>
      <c r="T32" s="14">
        <f ca="1">'1RA SEGURIDAD PUBLICA'!R20</f>
        <v>0</v>
      </c>
      <c r="U32" s="14">
        <f ca="1">'1RA SEGURIDAD PUBLICA'!S20</f>
        <v>0</v>
      </c>
    </row>
    <row r="33" spans="1:21" ht="39.75" customHeight="1">
      <c r="A33" s="53"/>
      <c r="B33" s="53"/>
      <c r="C33" s="7" t="s">
        <v>64</v>
      </c>
      <c r="D33" s="10">
        <f ca="1">SECGEN1PERIODO!B13</f>
        <v>80</v>
      </c>
      <c r="E33" s="10" t="str">
        <f ca="1">SECGEN1PERIODO!C13</f>
        <v>MATRIONIOS</v>
      </c>
      <c r="F33" s="10" t="str">
        <f ca="1">SECGEN1PERIODO!D13</f>
        <v>ASCENDENTE</v>
      </c>
      <c r="G33" s="10" t="str">
        <f ca="1">SECGEN1PERIODO!E13</f>
        <v>BITACORA OPERATIVA</v>
      </c>
      <c r="H33" s="14">
        <f ca="1">'1RA SEGURIDAD PUBLICA'!F21</f>
        <v>0</v>
      </c>
      <c r="I33" s="14">
        <f ca="1">'1RA SEGURIDAD PUBLICA'!G21</f>
        <v>0</v>
      </c>
      <c r="J33" s="14">
        <f ca="1">'1RA SEGURIDAD PUBLICA'!H21</f>
        <v>0</v>
      </c>
      <c r="K33" s="14">
        <f ca="1">'1RA SEGURIDAD PUBLICA'!I21</f>
        <v>0</v>
      </c>
      <c r="L33" s="14">
        <f ca="1">'1RA SEGURIDAD PUBLICA'!J21</f>
        <v>0</v>
      </c>
      <c r="M33" s="14">
        <f ca="1">'1RA SEGURIDAD PUBLICA'!K21</f>
        <v>0</v>
      </c>
      <c r="N33" s="14">
        <f ca="1">'1RA SEGURIDAD PUBLICA'!L21</f>
        <v>0</v>
      </c>
      <c r="O33" s="14">
        <f ca="1">'1RA SEGURIDAD PUBLICA'!M21</f>
        <v>0</v>
      </c>
      <c r="P33" s="14">
        <f ca="1">'1RA SEGURIDAD PUBLICA'!N21</f>
        <v>0</v>
      </c>
      <c r="Q33" s="14">
        <f ca="1">'1RA SEGURIDAD PUBLICA'!O21</f>
        <v>0</v>
      </c>
      <c r="R33" s="14">
        <f ca="1">'1RA SEGURIDAD PUBLICA'!P21</f>
        <v>0</v>
      </c>
      <c r="S33" s="14">
        <f ca="1">'1RA SEGURIDAD PUBLICA'!Q21</f>
        <v>0</v>
      </c>
      <c r="T33" s="14">
        <f ca="1">'1RA SEGURIDAD PUBLICA'!R21</f>
        <v>0</v>
      </c>
      <c r="U33" s="14">
        <f ca="1">'1RA SEGURIDAD PUBLICA'!S21</f>
        <v>0</v>
      </c>
    </row>
    <row r="34" spans="1:21" ht="39.75" customHeight="1">
      <c r="A34" s="53"/>
      <c r="B34" s="53"/>
      <c r="C34" s="7" t="s">
        <v>65</v>
      </c>
      <c r="D34" s="10">
        <f ca="1">SECGEN1PERIODO!B14</f>
        <v>30</v>
      </c>
      <c r="E34" s="10" t="str">
        <f ca="1">SECGEN1PERIODO!C14</f>
        <v>ACLARACIONES</v>
      </c>
      <c r="F34" s="10" t="str">
        <f ca="1">SECGEN1PERIODO!D14</f>
        <v>ASCENDENTE</v>
      </c>
      <c r="G34" s="10" t="str">
        <f ca="1">SECGEN1PERIODO!E14</f>
        <v>BITACORA OPERATIVA</v>
      </c>
      <c r="H34" s="14">
        <f ca="1">'1RA SEGURIDAD PUBLICA'!F22</f>
        <v>0</v>
      </c>
      <c r="I34" s="14">
        <f ca="1">'1RA SEGURIDAD PUBLICA'!G22</f>
        <v>0</v>
      </c>
      <c r="J34" s="14">
        <f ca="1">'1RA SEGURIDAD PUBLICA'!H22</f>
        <v>0</v>
      </c>
      <c r="K34" s="14">
        <f ca="1">'1RA SEGURIDAD PUBLICA'!I22</f>
        <v>0</v>
      </c>
      <c r="L34" s="14">
        <f ca="1">'1RA SEGURIDAD PUBLICA'!J22</f>
        <v>0</v>
      </c>
      <c r="M34" s="14">
        <f ca="1">'1RA SEGURIDAD PUBLICA'!K22</f>
        <v>0</v>
      </c>
      <c r="N34" s="14">
        <f ca="1">'1RA SEGURIDAD PUBLICA'!L22</f>
        <v>0</v>
      </c>
      <c r="O34" s="14">
        <f ca="1">'1RA SEGURIDAD PUBLICA'!M22</f>
        <v>0</v>
      </c>
      <c r="P34" s="14">
        <f ca="1">'1RA SEGURIDAD PUBLICA'!N22</f>
        <v>0</v>
      </c>
      <c r="Q34" s="14">
        <f ca="1">'1RA SEGURIDAD PUBLICA'!O22</f>
        <v>0</v>
      </c>
      <c r="R34" s="14">
        <f ca="1">'1RA SEGURIDAD PUBLICA'!P22</f>
        <v>0</v>
      </c>
      <c r="S34" s="14">
        <f ca="1">'1RA SEGURIDAD PUBLICA'!Q22</f>
        <v>0</v>
      </c>
      <c r="T34" s="14">
        <f ca="1">'1RA SEGURIDAD PUBLICA'!R22</f>
        <v>0</v>
      </c>
      <c r="U34" s="14">
        <f ca="1">'1RA SEGURIDAD PUBLICA'!S22</f>
        <v>0</v>
      </c>
    </row>
    <row r="35" spans="1:21" ht="39.75" customHeight="1">
      <c r="A35" s="53"/>
      <c r="B35" s="53"/>
      <c r="C35" s="7" t="s">
        <v>52</v>
      </c>
      <c r="D35" s="10">
        <f ca="1">SECGEN1PERIODO!B15</f>
        <v>400</v>
      </c>
      <c r="E35" s="10" t="str">
        <f ca="1">SECGEN1PERIODO!C15</f>
        <v>CONSTANCIAS</v>
      </c>
      <c r="F35" s="10" t="str">
        <f ca="1">SECGEN1PERIODO!D15</f>
        <v>ASCENDENTE</v>
      </c>
      <c r="G35" s="10" t="str">
        <f ca="1">SECGEN1PERIODO!E15</f>
        <v>BITACORA OPERATIVA</v>
      </c>
      <c r="H35" s="14">
        <f ca="1">'1RA SEGURIDAD PUBLICA'!F23</f>
        <v>2100</v>
      </c>
      <c r="I35" s="14">
        <f ca="1">'1RA SEGURIDAD PUBLICA'!G23</f>
        <v>3</v>
      </c>
      <c r="J35" s="14">
        <f ca="1">'1RA SEGURIDAD PUBLICA'!H23</f>
        <v>2</v>
      </c>
      <c r="K35" s="14">
        <f ca="1">'1RA SEGURIDAD PUBLICA'!I23</f>
        <v>0</v>
      </c>
      <c r="L35" s="14">
        <f ca="1">'1RA SEGURIDAD PUBLICA'!J23</f>
        <v>0</v>
      </c>
      <c r="M35" s="14">
        <f ca="1">'1RA SEGURIDAD PUBLICA'!K23</f>
        <v>0</v>
      </c>
      <c r="N35" s="14">
        <f ca="1">'1RA SEGURIDAD PUBLICA'!L23</f>
        <v>0</v>
      </c>
      <c r="O35" s="14">
        <f ca="1">'1RA SEGURIDAD PUBLICA'!M23</f>
        <v>3</v>
      </c>
      <c r="P35" s="14">
        <f ca="1">'1RA SEGURIDAD PUBLICA'!N23</f>
        <v>5</v>
      </c>
      <c r="Q35" s="14">
        <f ca="1">'1RA SEGURIDAD PUBLICA'!O23</f>
        <v>1</v>
      </c>
      <c r="R35" s="14">
        <f ca="1">'1RA SEGURIDAD PUBLICA'!P23</f>
        <v>5</v>
      </c>
      <c r="S35" s="14">
        <f ca="1">'1RA SEGURIDAD PUBLICA'!Q23</f>
        <v>1</v>
      </c>
      <c r="T35" s="14">
        <f ca="1">'1RA SEGURIDAD PUBLICA'!R23</f>
        <v>1</v>
      </c>
      <c r="U35" s="14">
        <f ca="1">'1RA SEGURIDAD PUBLICA'!S23</f>
        <v>21</v>
      </c>
    </row>
    <row r="36" spans="1:21" ht="39.75" customHeight="1">
      <c r="A36" s="51"/>
      <c r="B36" s="51"/>
      <c r="C36" s="7" t="s">
        <v>66</v>
      </c>
      <c r="D36" s="10">
        <f ca="1">SECGEN1PERIODO!B16</f>
        <v>900</v>
      </c>
      <c r="E36" s="10" t="str">
        <f ca="1">SECGEN1PERIODO!C16</f>
        <v>ACTAS EXPEDIDAS</v>
      </c>
      <c r="F36" s="10" t="str">
        <f ca="1">SECGEN1PERIODO!D16</f>
        <v>ASCENDENTE</v>
      </c>
      <c r="G36" s="10" t="str">
        <f ca="1">SECGEN1PERIODO!E16</f>
        <v>BITACORA OPERATIVA</v>
      </c>
      <c r="H36" s="14">
        <f ca="1">'1RA SEGURIDAD PUBLICA'!F24</f>
        <v>0</v>
      </c>
      <c r="I36" s="14">
        <f ca="1">'1RA SEGURIDAD PUBLICA'!G24</f>
        <v>0</v>
      </c>
      <c r="J36" s="14">
        <f ca="1">'1RA SEGURIDAD PUBLICA'!H24</f>
        <v>0</v>
      </c>
      <c r="K36" s="14">
        <f ca="1">'1RA SEGURIDAD PUBLICA'!I24</f>
        <v>0</v>
      </c>
      <c r="L36" s="14">
        <f ca="1">'1RA SEGURIDAD PUBLICA'!J24</f>
        <v>0</v>
      </c>
      <c r="M36" s="14">
        <f ca="1">'1RA SEGURIDAD PUBLICA'!K24</f>
        <v>0</v>
      </c>
      <c r="N36" s="14">
        <f ca="1">'1RA SEGURIDAD PUBLICA'!L24</f>
        <v>0</v>
      </c>
      <c r="O36" s="14">
        <f ca="1">'1RA SEGURIDAD PUBLICA'!M24</f>
        <v>0</v>
      </c>
      <c r="P36" s="14">
        <f ca="1">'1RA SEGURIDAD PUBLICA'!N24</f>
        <v>0</v>
      </c>
      <c r="Q36" s="14">
        <f ca="1">'1RA SEGURIDAD PUBLICA'!O24</f>
        <v>0</v>
      </c>
      <c r="R36" s="14">
        <f ca="1">'1RA SEGURIDAD PUBLICA'!P24</f>
        <v>0</v>
      </c>
      <c r="S36" s="14">
        <f ca="1">'1RA SEGURIDAD PUBLICA'!Q24</f>
        <v>0</v>
      </c>
      <c r="T36" s="14">
        <f ca="1">'1RA SEGURIDAD PUBLICA'!R24</f>
        <v>0</v>
      </c>
      <c r="U36" s="14">
        <f ca="1">'1RA SEGURIDAD PUBLICA'!S24</f>
        <v>0</v>
      </c>
    </row>
    <row r="37" spans="1:21" ht="39.75" customHeight="1">
      <c r="A37" s="52" t="s">
        <v>67</v>
      </c>
      <c r="B37" s="52" t="s">
        <v>68</v>
      </c>
      <c r="C37" s="12" t="s">
        <v>69</v>
      </c>
      <c r="D37" s="10">
        <f ca="1">GAB1PERIODO!B2</f>
        <v>50</v>
      </c>
      <c r="E37" s="10" t="str">
        <f ca="1">GAB1PERIODO!C2</f>
        <v>M2 INTERVENIDOS</v>
      </c>
      <c r="F37" s="10" t="str">
        <f ca="1">GAB1PERIODO!D2</f>
        <v>ASCENDENTE</v>
      </c>
      <c r="G37" s="10" t="str">
        <f ca="1">GAB1PERIODO!E2</f>
        <v>BITACORA OPERATIVA</v>
      </c>
      <c r="H37" s="14">
        <f ca="1">'1RA SEGURIDAD PUBLICA'!F25</f>
        <v>0</v>
      </c>
      <c r="I37" s="14">
        <f ca="1">'1RA SEGURIDAD PUBLICA'!G25</f>
        <v>0</v>
      </c>
      <c r="J37" s="14">
        <f ca="1">'1RA SEGURIDAD PUBLICA'!H25</f>
        <v>0</v>
      </c>
      <c r="K37" s="14">
        <f ca="1">'1RA SEGURIDAD PUBLICA'!I25</f>
        <v>0</v>
      </c>
      <c r="L37" s="14">
        <f ca="1">'1RA SEGURIDAD PUBLICA'!J25</f>
        <v>0</v>
      </c>
      <c r="M37" s="14">
        <f ca="1">'1RA SEGURIDAD PUBLICA'!K25</f>
        <v>0</v>
      </c>
      <c r="N37" s="14">
        <f ca="1">'1RA SEGURIDAD PUBLICA'!L25</f>
        <v>0</v>
      </c>
      <c r="O37" s="14">
        <f ca="1">'1RA SEGURIDAD PUBLICA'!M25</f>
        <v>0</v>
      </c>
      <c r="P37" s="14">
        <f ca="1">'1RA SEGURIDAD PUBLICA'!N25</f>
        <v>0</v>
      </c>
      <c r="Q37" s="14">
        <f ca="1">'1RA SEGURIDAD PUBLICA'!O25</f>
        <v>0</v>
      </c>
      <c r="R37" s="14">
        <f ca="1">'1RA SEGURIDAD PUBLICA'!P25</f>
        <v>0</v>
      </c>
      <c r="S37" s="14">
        <f ca="1">'1RA SEGURIDAD PUBLICA'!Q25</f>
        <v>0</v>
      </c>
      <c r="T37" s="14">
        <f ca="1">'1RA SEGURIDAD PUBLICA'!R25</f>
        <v>0</v>
      </c>
      <c r="U37" s="14">
        <f ca="1">'1RA SEGURIDAD PUBLICA'!S25</f>
        <v>0</v>
      </c>
    </row>
    <row r="38" spans="1:21" ht="39.75" customHeight="1">
      <c r="A38" s="53"/>
      <c r="B38" s="53"/>
      <c r="C38" s="12" t="s">
        <v>70</v>
      </c>
      <c r="D38" s="10">
        <f ca="1">GAB1PERIODO!B3</f>
        <v>1200</v>
      </c>
      <c r="E38" s="10" t="str">
        <f ca="1">GAB1PERIODO!C3</f>
        <v>PIEZAS INSTALADAS</v>
      </c>
      <c r="F38" s="10" t="str">
        <f ca="1">GAB1PERIODO!D3</f>
        <v>ASCENDENTE</v>
      </c>
      <c r="G38" s="10" t="str">
        <f ca="1">GAB1PERIODO!E3</f>
        <v>BITACORA OPERATIVA</v>
      </c>
      <c r="H38" s="14">
        <f ca="1">'1RA SEGURIDAD PUBLICA'!F26</f>
        <v>125</v>
      </c>
      <c r="I38" s="14">
        <f ca="1">'1RA SEGURIDAD PUBLICA'!G26</f>
        <v>0</v>
      </c>
      <c r="J38" s="14">
        <f ca="1">'1RA SEGURIDAD PUBLICA'!H26</f>
        <v>0</v>
      </c>
      <c r="K38" s="14">
        <f ca="1">'1RA SEGURIDAD PUBLICA'!I26</f>
        <v>0</v>
      </c>
      <c r="L38" s="14">
        <f ca="1">'1RA SEGURIDAD PUBLICA'!J26</f>
        <v>0</v>
      </c>
      <c r="M38" s="14">
        <f ca="1">'1RA SEGURIDAD PUBLICA'!K26</f>
        <v>1</v>
      </c>
      <c r="N38" s="14">
        <f ca="1">'1RA SEGURIDAD PUBLICA'!L26</f>
        <v>0</v>
      </c>
      <c r="O38" s="14">
        <f ca="1">'1RA SEGURIDAD PUBLICA'!M26</f>
        <v>0</v>
      </c>
      <c r="P38" s="14">
        <f ca="1">'1RA SEGURIDAD PUBLICA'!N26</f>
        <v>1</v>
      </c>
      <c r="Q38" s="14">
        <f ca="1">'1RA SEGURIDAD PUBLICA'!O26</f>
        <v>0</v>
      </c>
      <c r="R38" s="14">
        <f ca="1">'1RA SEGURIDAD PUBLICA'!P26</f>
        <v>1</v>
      </c>
      <c r="S38" s="14">
        <f ca="1">'1RA SEGURIDAD PUBLICA'!Q26</f>
        <v>2</v>
      </c>
      <c r="T38" s="14">
        <f ca="1">'1RA SEGURIDAD PUBLICA'!R26</f>
        <v>0</v>
      </c>
      <c r="U38" s="14">
        <f ca="1">'1RA SEGURIDAD PUBLICA'!S26</f>
        <v>5</v>
      </c>
    </row>
    <row r="39" spans="1:21" ht="39.75" customHeight="1">
      <c r="A39" s="53"/>
      <c r="B39" s="53"/>
      <c r="C39" s="12" t="s">
        <v>71</v>
      </c>
      <c r="D39" s="10">
        <f ca="1">GAB1PERIODO!B4</f>
        <v>80</v>
      </c>
      <c r="E39" s="10" t="str">
        <f ca="1">GAB1PERIODO!C4</f>
        <v>TOPES INSTALADOS</v>
      </c>
      <c r="F39" s="10" t="str">
        <f ca="1">GAB1PERIODO!D4</f>
        <v>ASCENDENTE</v>
      </c>
      <c r="G39" s="10" t="str">
        <f ca="1">GAB1PERIODO!E4</f>
        <v>BITACORA OPERATIVA</v>
      </c>
      <c r="H39" s="14">
        <f ca="1">'1RA SEGURIDAD PUBLICA'!F27</f>
        <v>50</v>
      </c>
      <c r="I39" s="14">
        <f ca="1">'1RA SEGURIDAD PUBLICA'!G27</f>
        <v>0</v>
      </c>
      <c r="J39" s="14">
        <f ca="1">'1RA SEGURIDAD PUBLICA'!H27</f>
        <v>0</v>
      </c>
      <c r="K39" s="14">
        <f ca="1">'1RA SEGURIDAD PUBLICA'!I27</f>
        <v>1</v>
      </c>
      <c r="L39" s="14">
        <f ca="1">'1RA SEGURIDAD PUBLICA'!J27</f>
        <v>1</v>
      </c>
      <c r="M39" s="14">
        <f ca="1">'1RA SEGURIDAD PUBLICA'!K27</f>
        <v>0</v>
      </c>
      <c r="N39" s="14">
        <f ca="1">'1RA SEGURIDAD PUBLICA'!L27</f>
        <v>0</v>
      </c>
      <c r="O39" s="14">
        <f ca="1">'1RA SEGURIDAD PUBLICA'!M27</f>
        <v>0</v>
      </c>
      <c r="P39" s="14">
        <f ca="1">'1RA SEGURIDAD PUBLICA'!N27</f>
        <v>0</v>
      </c>
      <c r="Q39" s="14">
        <f ca="1">'1RA SEGURIDAD PUBLICA'!O27</f>
        <v>0</v>
      </c>
      <c r="R39" s="14">
        <f ca="1">'1RA SEGURIDAD PUBLICA'!P27</f>
        <v>0</v>
      </c>
      <c r="S39" s="14">
        <f ca="1">'1RA SEGURIDAD PUBLICA'!Q27</f>
        <v>0</v>
      </c>
      <c r="T39" s="14">
        <f ca="1">'1RA SEGURIDAD PUBLICA'!R27</f>
        <v>0</v>
      </c>
      <c r="U39" s="14">
        <f ca="1">'1RA SEGURIDAD PUBLICA'!S27</f>
        <v>2</v>
      </c>
    </row>
    <row r="40" spans="1:21" ht="39.75" customHeight="1">
      <c r="A40" s="53"/>
      <c r="B40" s="53"/>
      <c r="C40" s="12" t="s">
        <v>72</v>
      </c>
      <c r="D40" s="10">
        <f ca="1">GAB1PERIODO!B5</f>
        <v>15</v>
      </c>
      <c r="E40" s="10" t="str">
        <f ca="1">GAB1PERIODO!C5</f>
        <v>ESPACIOS INTERVENIDOS</v>
      </c>
      <c r="F40" s="10" t="str">
        <f ca="1">GAB1PERIODO!D5</f>
        <v>ASCENDENTE</v>
      </c>
      <c r="G40" s="10" t="str">
        <f ca="1">GAB1PERIODO!E5</f>
        <v>BITACORA OPERATIVA</v>
      </c>
      <c r="H40" s="14">
        <f ca="1">'1RA SEGURIDAD PUBLICA'!F28</f>
        <v>0</v>
      </c>
      <c r="I40" s="14">
        <f ca="1">'1RA SEGURIDAD PUBLICA'!G28</f>
        <v>0</v>
      </c>
      <c r="J40" s="14">
        <f ca="1">'1RA SEGURIDAD PUBLICA'!H28</f>
        <v>0</v>
      </c>
      <c r="K40" s="14">
        <f ca="1">'1RA SEGURIDAD PUBLICA'!I28</f>
        <v>0</v>
      </c>
      <c r="L40" s="14">
        <f ca="1">'1RA SEGURIDAD PUBLICA'!J28</f>
        <v>0</v>
      </c>
      <c r="M40" s="14">
        <f ca="1">'1RA SEGURIDAD PUBLICA'!K28</f>
        <v>0</v>
      </c>
      <c r="N40" s="14">
        <f ca="1">'1RA SEGURIDAD PUBLICA'!L28</f>
        <v>0</v>
      </c>
      <c r="O40" s="14">
        <f ca="1">'1RA SEGURIDAD PUBLICA'!M28</f>
        <v>0</v>
      </c>
      <c r="P40" s="14">
        <f ca="1">'1RA SEGURIDAD PUBLICA'!N28</f>
        <v>0</v>
      </c>
      <c r="Q40" s="14">
        <f ca="1">'1RA SEGURIDAD PUBLICA'!O28</f>
        <v>0</v>
      </c>
      <c r="R40" s="14">
        <f ca="1">'1RA SEGURIDAD PUBLICA'!P28</f>
        <v>0</v>
      </c>
      <c r="S40" s="14">
        <f ca="1">'1RA SEGURIDAD PUBLICA'!Q28</f>
        <v>0</v>
      </c>
      <c r="T40" s="14">
        <f ca="1">'1RA SEGURIDAD PUBLICA'!R28</f>
        <v>0</v>
      </c>
      <c r="U40" s="14">
        <f ca="1">'1RA SEGURIDAD PUBLICA'!S28</f>
        <v>0</v>
      </c>
    </row>
    <row r="41" spans="1:21" ht="39.75" customHeight="1">
      <c r="A41" s="53"/>
      <c r="B41" s="51"/>
      <c r="C41" s="12" t="s">
        <v>73</v>
      </c>
      <c r="D41" s="10">
        <f ca="1">GAB1PERIODO!B6</f>
        <v>30</v>
      </c>
      <c r="E41" s="10" t="str">
        <f ca="1">GAB1PERIODO!C6</f>
        <v>PROYECTOS EJECUTADOS</v>
      </c>
      <c r="F41" s="10" t="str">
        <f ca="1">GAB1PERIODO!D6</f>
        <v>ASCENDENTE</v>
      </c>
      <c r="G41" s="10" t="str">
        <f ca="1">GAB1PERIODO!E6</f>
        <v>BITACORA OPERATIVA</v>
      </c>
      <c r="H41" s="14">
        <f ca="1">'1RA SEGURIDAD PUBLICA'!F29</f>
        <v>100</v>
      </c>
      <c r="I41" s="14">
        <f ca="1">'1RA SEGURIDAD PUBLICA'!G29</f>
        <v>0</v>
      </c>
      <c r="J41" s="14">
        <f ca="1">'1RA SEGURIDAD PUBLICA'!H29</f>
        <v>0</v>
      </c>
      <c r="K41" s="14">
        <f ca="1">'1RA SEGURIDAD PUBLICA'!I29</f>
        <v>0</v>
      </c>
      <c r="L41" s="14">
        <f ca="1">'1RA SEGURIDAD PUBLICA'!J29</f>
        <v>0</v>
      </c>
      <c r="M41" s="14">
        <f ca="1">'1RA SEGURIDAD PUBLICA'!K29</f>
        <v>0</v>
      </c>
      <c r="N41" s="14">
        <f ca="1">'1RA SEGURIDAD PUBLICA'!L29</f>
        <v>0</v>
      </c>
      <c r="O41" s="14">
        <f ca="1">'1RA SEGURIDAD PUBLICA'!M29</f>
        <v>0</v>
      </c>
      <c r="P41" s="14">
        <f ca="1">'1RA SEGURIDAD PUBLICA'!N29</f>
        <v>0</v>
      </c>
      <c r="Q41" s="14">
        <f ca="1">'1RA SEGURIDAD PUBLICA'!O29</f>
        <v>0</v>
      </c>
      <c r="R41" s="14">
        <f ca="1">'1RA SEGURIDAD PUBLICA'!P29</f>
        <v>0</v>
      </c>
      <c r="S41" s="14">
        <f ca="1">'1RA SEGURIDAD PUBLICA'!Q29</f>
        <v>1</v>
      </c>
      <c r="T41" s="14">
        <f ca="1">'1RA SEGURIDAD PUBLICA'!R29</f>
        <v>0</v>
      </c>
      <c r="U41" s="14">
        <f ca="1">'1RA SEGURIDAD PUBLICA'!S29</f>
        <v>1</v>
      </c>
    </row>
    <row r="42" spans="1:21" ht="39.75" customHeight="1">
      <c r="A42" s="53"/>
      <c r="B42" s="52" t="s">
        <v>74</v>
      </c>
      <c r="C42" s="12" t="s">
        <v>75</v>
      </c>
      <c r="D42" s="10">
        <f ca="1">GAB1PERIODO!B7</f>
        <v>12</v>
      </c>
      <c r="E42" s="10" t="str">
        <f ca="1">GAB1PERIODO!C7</f>
        <v>SESIONES</v>
      </c>
      <c r="F42" s="10" t="str">
        <f ca="1">GAB1PERIODO!D7</f>
        <v>ASCENDENTE</v>
      </c>
      <c r="G42" s="10" t="str">
        <f ca="1">GAB1PERIODO!E7</f>
        <v>BITACORA OPERATIVA</v>
      </c>
      <c r="H42" s="14">
        <f ca="1">'1RA SEGURIDAD PUBLICA'!F30</f>
        <v>400</v>
      </c>
      <c r="I42" s="14">
        <f ca="1">'1RA SEGURIDAD PUBLICA'!G30</f>
        <v>0</v>
      </c>
      <c r="J42" s="14">
        <f ca="1">'1RA SEGURIDAD PUBLICA'!H30</f>
        <v>0</v>
      </c>
      <c r="K42" s="14">
        <f ca="1">'1RA SEGURIDAD PUBLICA'!I30</f>
        <v>0</v>
      </c>
      <c r="L42" s="14">
        <f ca="1">'1RA SEGURIDAD PUBLICA'!J30</f>
        <v>0</v>
      </c>
      <c r="M42" s="14">
        <f ca="1">'1RA SEGURIDAD PUBLICA'!K30</f>
        <v>0</v>
      </c>
      <c r="N42" s="14">
        <f ca="1">'1RA SEGURIDAD PUBLICA'!L30</f>
        <v>0</v>
      </c>
      <c r="O42" s="14">
        <f ca="1">'1RA SEGURIDAD PUBLICA'!M30</f>
        <v>2</v>
      </c>
      <c r="P42" s="14">
        <f ca="1">'1RA SEGURIDAD PUBLICA'!N30</f>
        <v>1</v>
      </c>
      <c r="Q42" s="14">
        <f ca="1">'1RA SEGURIDAD PUBLICA'!O30</f>
        <v>1</v>
      </c>
      <c r="R42" s="14">
        <f ca="1">'1RA SEGURIDAD PUBLICA'!P30</f>
        <v>0</v>
      </c>
      <c r="S42" s="14">
        <f ca="1">'1RA SEGURIDAD PUBLICA'!Q30</f>
        <v>0</v>
      </c>
      <c r="T42" s="14">
        <f ca="1">'1RA SEGURIDAD PUBLICA'!R30</f>
        <v>0</v>
      </c>
      <c r="U42" s="14">
        <f ca="1">'1RA SEGURIDAD PUBLICA'!S30</f>
        <v>4</v>
      </c>
    </row>
    <row r="43" spans="1:21" ht="39.75" customHeight="1">
      <c r="A43" s="53"/>
      <c r="B43" s="53"/>
      <c r="C43" s="12" t="s">
        <v>76</v>
      </c>
      <c r="D43" s="10">
        <f ca="1">GAB1PERIODO!B8</f>
        <v>520</v>
      </c>
      <c r="E43" s="10" t="str">
        <f ca="1">GAB1PERIODO!C8</f>
        <v>ACUERDOS TOMADOS</v>
      </c>
      <c r="F43" s="10" t="str">
        <f ca="1">GAB1PERIODO!D8</f>
        <v>ASCENDENTE</v>
      </c>
      <c r="G43" s="10" t="str">
        <f ca="1">GAB1PERIODO!E8</f>
        <v>BITACORA OPERATIVA</v>
      </c>
      <c r="H43" s="14">
        <f ca="1">'1RA SEGURIDAD PUBLICA'!F31</f>
        <v>114.99999999999901</v>
      </c>
      <c r="I43" s="14">
        <f ca="1">'1RA SEGURIDAD PUBLICA'!G31</f>
        <v>10</v>
      </c>
      <c r="J43" s="14">
        <f ca="1">'1RA SEGURIDAD PUBLICA'!H31</f>
        <v>4</v>
      </c>
      <c r="K43" s="14">
        <f ca="1">'1RA SEGURIDAD PUBLICA'!I31</f>
        <v>3</v>
      </c>
      <c r="L43" s="14">
        <f ca="1">'1RA SEGURIDAD PUBLICA'!J31</f>
        <v>5</v>
      </c>
      <c r="M43" s="14">
        <f ca="1">'1RA SEGURIDAD PUBLICA'!K31</f>
        <v>9</v>
      </c>
      <c r="N43" s="14">
        <f ca="1">'1RA SEGURIDAD PUBLICA'!L31</f>
        <v>12</v>
      </c>
      <c r="O43" s="14">
        <f ca="1">'1RA SEGURIDAD PUBLICA'!M31</f>
        <v>5</v>
      </c>
      <c r="P43" s="14">
        <f ca="1">'1RA SEGURIDAD PUBLICA'!N31</f>
        <v>8</v>
      </c>
      <c r="Q43" s="14">
        <f ca="1">'1RA SEGURIDAD PUBLICA'!O31</f>
        <v>4</v>
      </c>
      <c r="R43" s="14">
        <f ca="1">'1RA SEGURIDAD PUBLICA'!P31</f>
        <v>2</v>
      </c>
      <c r="S43" s="14">
        <f ca="1">'1RA SEGURIDAD PUBLICA'!Q31</f>
        <v>2</v>
      </c>
      <c r="T43" s="14">
        <f ca="1">'1RA SEGURIDAD PUBLICA'!R31</f>
        <v>5</v>
      </c>
      <c r="U43" s="14">
        <f ca="1">'1RA SEGURIDAD PUBLICA'!S31</f>
        <v>69</v>
      </c>
    </row>
    <row r="44" spans="1:21" ht="39.75" customHeight="1">
      <c r="A44" s="53"/>
      <c r="B44" s="51"/>
      <c r="C44" s="12" t="s">
        <v>77</v>
      </c>
      <c r="D44" s="10">
        <f ca="1">GAB1PERIODO!B9</f>
        <v>500</v>
      </c>
      <c r="E44" s="10" t="str">
        <f ca="1">GAB1PERIODO!C9</f>
        <v>SESIONES</v>
      </c>
      <c r="F44" s="10" t="str">
        <f ca="1">GAB1PERIODO!D9</f>
        <v>ASCENDENTE</v>
      </c>
      <c r="G44" s="10" t="str">
        <f ca="1">GAB1PERIODO!E9</f>
        <v>BITACORA OPERATIVA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</row>
    <row r="45" spans="1:21" ht="39.75" customHeight="1">
      <c r="A45" s="53"/>
      <c r="B45" s="52" t="s">
        <v>78</v>
      </c>
      <c r="C45" s="12" t="s">
        <v>79</v>
      </c>
      <c r="D45" s="10">
        <f ca="1">GAB1PERIODO!B10</f>
        <v>1100</v>
      </c>
      <c r="E45" s="10" t="str">
        <f ca="1">GAB1PERIODO!C10</f>
        <v>HERRAMIENTAS REALIZADAS</v>
      </c>
      <c r="F45" s="10" t="str">
        <f ca="1">GAB1PERIODO!D10</f>
        <v>ASCENDENTE</v>
      </c>
      <c r="G45" s="10" t="str">
        <f ca="1">GAB1PERIODO!E10</f>
        <v>BITACORA OPERATIVA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</row>
    <row r="46" spans="1:21" ht="39.75" customHeight="1">
      <c r="A46" s="53"/>
      <c r="B46" s="53"/>
      <c r="C46" s="12" t="s">
        <v>80</v>
      </c>
      <c r="D46" s="10">
        <f ca="1">GAB1PERIODO!B11</f>
        <v>980</v>
      </c>
      <c r="E46" s="10" t="str">
        <f ca="1">GAB1PERIODO!C11</f>
        <v>HERRAMIENTAS ACTUALIZADAS</v>
      </c>
      <c r="F46" s="10" t="str">
        <f ca="1">GAB1PERIODO!D11</f>
        <v>ASCENDENTE</v>
      </c>
      <c r="G46" s="10" t="str">
        <f ca="1">GAB1PERIODO!E11</f>
        <v>BITACORA OPERATIVA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</row>
    <row r="47" spans="1:21" ht="39.75" customHeight="1">
      <c r="A47" s="53"/>
      <c r="B47" s="53"/>
      <c r="C47" s="12" t="s">
        <v>77</v>
      </c>
      <c r="D47" s="10">
        <f ca="1">GAB1PERIODO!B12</f>
        <v>70</v>
      </c>
      <c r="E47" s="10" t="str">
        <f ca="1">GAB1PERIODO!C12</f>
        <v>SESIONES</v>
      </c>
      <c r="F47" s="10" t="str">
        <f ca="1">GAB1PERIODO!D12</f>
        <v>ASCENDENTE</v>
      </c>
      <c r="G47" s="10" t="str">
        <f ca="1">GAB1PERIODO!E12</f>
        <v>BITACORA OPERATIVA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</row>
    <row r="48" spans="1:21" ht="39.75" customHeight="1">
      <c r="A48" s="53"/>
      <c r="B48" s="53"/>
      <c r="C48" s="12" t="s">
        <v>81</v>
      </c>
      <c r="D48" s="10">
        <f ca="1">GAB1PERIODO!B13</f>
        <v>80</v>
      </c>
      <c r="E48" s="10" t="str">
        <f ca="1">GAB1PERIODO!C13</f>
        <v>ACUERDOS TOMADOS</v>
      </c>
      <c r="F48" s="10" t="str">
        <f ca="1">GAB1PERIODO!D13</f>
        <v>ASCENDENTE</v>
      </c>
      <c r="G48" s="10" t="str">
        <f ca="1">GAB1PERIODO!E13</f>
        <v>BITACORA OPERATIVA</v>
      </c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</row>
    <row r="49" spans="1:21" ht="39.75" customHeight="1">
      <c r="A49" s="53"/>
      <c r="B49" s="51"/>
      <c r="C49" s="12" t="s">
        <v>82</v>
      </c>
      <c r="D49" s="10">
        <f ca="1">GAB1PERIODO!B14</f>
        <v>30</v>
      </c>
      <c r="E49" s="10" t="str">
        <f ca="1">GAB1PERIODO!C14</f>
        <v>ACTUALIZACIONES</v>
      </c>
      <c r="F49" s="10" t="str">
        <f ca="1">GAB1PERIODO!D14</f>
        <v>ASCENDENTE</v>
      </c>
      <c r="G49" s="10" t="str">
        <f ca="1">GAB1PERIODO!E14</f>
        <v>BITACORA OPERATIVA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</row>
    <row r="50" spans="1:21" ht="39.75" customHeight="1">
      <c r="A50" s="53"/>
      <c r="B50" s="52" t="s">
        <v>83</v>
      </c>
      <c r="C50" s="12" t="s">
        <v>84</v>
      </c>
      <c r="D50" s="10">
        <f ca="1">GAB1PERIODO!B15</f>
        <v>400</v>
      </c>
      <c r="E50" s="10" t="str">
        <f ca="1">GAB1PERIODO!C15</f>
        <v>ACTUALIZACIONES</v>
      </c>
      <c r="F50" s="10" t="str">
        <f ca="1">GAB1PERIODO!D15</f>
        <v>ASCENDENTE</v>
      </c>
      <c r="G50" s="10" t="str">
        <f ca="1">GAB1PERIODO!E15</f>
        <v>BITACORA OPERATIVA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</row>
    <row r="51" spans="1:21" ht="39.75" customHeight="1">
      <c r="A51" s="53"/>
      <c r="B51" s="53"/>
      <c r="C51" s="12" t="s">
        <v>72</v>
      </c>
      <c r="D51" s="10">
        <f ca="1">GAB1PERIODO!B16</f>
        <v>900</v>
      </c>
      <c r="E51" s="10" t="str">
        <f ca="1">GAB1PERIODO!C16</f>
        <v>DICTAMENES REALIZADOS</v>
      </c>
      <c r="F51" s="10" t="str">
        <f ca="1">GAB1PERIODO!D16</f>
        <v>ASCENDENTE</v>
      </c>
      <c r="G51" s="10" t="str">
        <f ca="1">GAB1PERIODO!E16</f>
        <v>BITACORA OPERATIVA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</row>
    <row r="52" spans="1:21" ht="39.75" customHeight="1">
      <c r="A52" s="51"/>
      <c r="B52" s="51"/>
      <c r="C52" s="12" t="s">
        <v>85</v>
      </c>
      <c r="D52" s="10">
        <f ca="1">GAB1PERIODO!B17</f>
        <v>1060</v>
      </c>
      <c r="E52" s="10" t="str">
        <f ca="1">GAB1PERIODO!C17</f>
        <v>REPORTES REALIZADOS</v>
      </c>
      <c r="F52" s="10" t="str">
        <f ca="1">GAB1PERIODO!D17</f>
        <v>ASCENDENTE</v>
      </c>
      <c r="G52" s="10" t="str">
        <f ca="1">GAB1PERIODO!E17</f>
        <v>BITACORA OPERATIVA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</row>
    <row r="53" spans="1:21" ht="39.75" customHeight="1">
      <c r="A53" s="55" t="s">
        <v>86</v>
      </c>
      <c r="B53" s="55" t="s">
        <v>87</v>
      </c>
      <c r="C53" s="7" t="s">
        <v>88</v>
      </c>
      <c r="D53" s="16">
        <v>500</v>
      </c>
      <c r="E53" s="17" t="str">
        <f ca="1">TESORERIA1PERIODO!C2</f>
        <v>CERTIFICACIONES</v>
      </c>
      <c r="F53" s="17" t="str">
        <f ca="1">TESORERIA1PERIODO!D2</f>
        <v>ASCENDENTE</v>
      </c>
      <c r="G53" s="17" t="str">
        <f ca="1">TESORERIA1PERIODO!E2</f>
        <v>SESIONES PUBLICAS</v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</row>
    <row r="54" spans="1:21" ht="39.75" customHeight="1">
      <c r="A54" s="53"/>
      <c r="B54" s="53"/>
      <c r="C54" s="7" t="s">
        <v>90</v>
      </c>
      <c r="D54" s="16">
        <v>1000</v>
      </c>
      <c r="E54" s="17" t="str">
        <f ca="1">TESORERIA1PERIODO!C3</f>
        <v>COPIAS</v>
      </c>
      <c r="F54" s="17" t="str">
        <f ca="1">TESORERIA1PERIODO!D3</f>
        <v>ASCENDENTE</v>
      </c>
      <c r="G54" s="17" t="str">
        <f ca="1">TESORERIA1PERIODO!E3</f>
        <v>BITACORA DE ATENCION</v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</row>
    <row r="55" spans="1:21" ht="39.75" customHeight="1">
      <c r="A55" s="53"/>
      <c r="B55" s="53"/>
      <c r="C55" s="7" t="s">
        <v>91</v>
      </c>
      <c r="D55" s="16">
        <v>300</v>
      </c>
      <c r="E55" s="17" t="str">
        <f ca="1">TESORERIA1PERIODO!C4</f>
        <v>VALUACIONES</v>
      </c>
      <c r="F55" s="17" t="str">
        <f ca="1">TESORERIA1PERIODO!D4</f>
        <v>ASCENDENTE</v>
      </c>
      <c r="G55" s="17" t="str">
        <f ca="1">TESORERIA1PERIODO!E4</f>
        <v>BITACORA DE ATENCION</v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</row>
    <row r="56" spans="1:21" ht="39.75" customHeight="1">
      <c r="A56" s="53"/>
      <c r="B56" s="51"/>
      <c r="C56" s="7" t="s">
        <v>92</v>
      </c>
      <c r="D56" s="16">
        <v>150</v>
      </c>
      <c r="E56" s="17" t="str">
        <f ca="1">TESORERIA1PERIODO!C5</f>
        <v>REGISTROS</v>
      </c>
      <c r="F56" s="17" t="str">
        <f ca="1">TESORERIA1PERIODO!D5</f>
        <v>ASCENDENTE</v>
      </c>
      <c r="G56" s="17" t="str">
        <f ca="1">TESORERIA1PERIODO!E5</f>
        <v>BITACORA OPERATIVA</v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</row>
    <row r="57" spans="1:21" ht="39.75" customHeight="1">
      <c r="A57" s="53"/>
      <c r="B57" s="50" t="s">
        <v>93</v>
      </c>
      <c r="C57" s="7" t="s">
        <v>94</v>
      </c>
      <c r="D57" s="16">
        <v>3</v>
      </c>
      <c r="E57" s="17" t="str">
        <f ca="1">TESORERIA1PERIODO!C6</f>
        <v>CUENTAS</v>
      </c>
      <c r="F57" s="17" t="str">
        <f ca="1">TESORERIA1PERIODO!D6</f>
        <v>ASCENDENTE</v>
      </c>
      <c r="G57" s="17" t="str">
        <f ca="1">TESORERIA1PERIODO!E6</f>
        <v>BITACORA OPERATIVA</v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</row>
    <row r="58" spans="1:21" ht="39.75" customHeight="1">
      <c r="A58" s="53"/>
      <c r="B58" s="53"/>
      <c r="C58" s="22" t="s">
        <v>95</v>
      </c>
      <c r="D58" s="16">
        <v>1</v>
      </c>
      <c r="E58" s="17" t="str">
        <f ca="1">TESORERIA1PERIODO!C7</f>
        <v>AUDITORIAS</v>
      </c>
      <c r="F58" s="17" t="str">
        <f ca="1">TESORERIA1PERIODO!D7</f>
        <v>ASCENDENTE</v>
      </c>
      <c r="G58" s="17" t="str">
        <f ca="1">TESORERIA1PERIODO!E7</f>
        <v>BITACORA OPERATIVA</v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</row>
    <row r="59" spans="1:21" ht="39.75" customHeight="1">
      <c r="A59" s="53"/>
      <c r="B59" s="53"/>
      <c r="C59" s="22" t="s">
        <v>96</v>
      </c>
      <c r="D59" s="16">
        <v>3</v>
      </c>
      <c r="E59" s="17" t="str">
        <f ca="1">TESORERIA1PERIODO!C8</f>
        <v>AUDITORIAS INTERNAS</v>
      </c>
      <c r="F59" s="17" t="str">
        <f ca="1">TESORERIA1PERIODO!D8</f>
        <v>ASCENDENTE</v>
      </c>
      <c r="G59" s="17" t="str">
        <f ca="1">TESORERIA1PERIODO!E8</f>
        <v>BITACORA OPERATIVA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</row>
    <row r="60" spans="1:21" ht="39.75" customHeight="1">
      <c r="A60" s="53"/>
      <c r="B60" s="53"/>
      <c r="C60" s="22" t="s">
        <v>97</v>
      </c>
      <c r="D60" s="17">
        <f ca="1">TESORERIA1PERIODO!B9</f>
        <v>1</v>
      </c>
      <c r="E60" s="17" t="str">
        <f ca="1">TESORERIA1PERIODO!C9</f>
        <v>AVANCE</v>
      </c>
      <c r="F60" s="17" t="str">
        <f ca="1">TESORERIA1PERIODO!D9</f>
        <v>ASCENDENTE</v>
      </c>
      <c r="G60" s="17" t="str">
        <f ca="1">TESORERIA1PERIODO!E9</f>
        <v>BITACORA OPERATIVA</v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</row>
    <row r="61" spans="1:21" ht="39.75" customHeight="1">
      <c r="A61" s="53"/>
      <c r="B61" s="53"/>
      <c r="C61" s="22" t="s">
        <v>98</v>
      </c>
      <c r="D61" s="17">
        <f ca="1">TESORERIA1PERIODO!B10</f>
        <v>1</v>
      </c>
      <c r="E61" s="17" t="str">
        <f ca="1">TESORERIA1PERIODO!C10</f>
        <v>AVANCE</v>
      </c>
      <c r="F61" s="17" t="str">
        <f ca="1">TESORERIA1PERIODO!D10</f>
        <v>ASCENDENTE</v>
      </c>
      <c r="G61" s="17" t="str">
        <f ca="1">TESORERIA1PERIODO!E10</f>
        <v>BITACORA OPERATIVA</v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</row>
    <row r="62" spans="1:21" ht="39.75" customHeight="1">
      <c r="A62" s="53"/>
      <c r="B62" s="51"/>
      <c r="C62" s="22" t="s">
        <v>99</v>
      </c>
      <c r="D62" s="17">
        <f ca="1">TESORERIA1PERIODO!B11</f>
        <v>12</v>
      </c>
      <c r="E62" s="17" t="str">
        <f ca="1">TESORERIA1PERIODO!C11</f>
        <v>AUDITORIAS FEDERALES</v>
      </c>
      <c r="F62" s="17" t="str">
        <f ca="1">TESORERIA1PERIODO!D11</f>
        <v>ASCENDENTE</v>
      </c>
      <c r="G62" s="17" t="str">
        <f ca="1">TESORERIA1PERIODO!E11</f>
        <v>BITACORA OPERATIVA</v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</row>
    <row r="63" spans="1:21" ht="39.75" customHeight="1">
      <c r="A63" s="53"/>
      <c r="B63" s="50" t="s">
        <v>100</v>
      </c>
      <c r="C63" s="22" t="s">
        <v>101</v>
      </c>
      <c r="D63" s="16">
        <v>300</v>
      </c>
      <c r="E63" s="17" t="str">
        <f ca="1">TESORERIA1PERIODO!C12</f>
        <v>NOTIFICACIONES</v>
      </c>
      <c r="F63" s="17" t="str">
        <f ca="1">TESORERIA1PERIODO!D12</f>
        <v>ASCENDENTE</v>
      </c>
      <c r="G63" s="17" t="str">
        <f ca="1">TESORERIA1PERIODO!E12</f>
        <v>BITACORA OPERATIVA</v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</row>
    <row r="64" spans="1:21" ht="39.75" customHeight="1">
      <c r="A64" s="53"/>
      <c r="B64" s="53"/>
      <c r="C64" s="22" t="s">
        <v>102</v>
      </c>
      <c r="D64" s="16">
        <v>200</v>
      </c>
      <c r="E64" s="17" t="str">
        <f ca="1">TESORERIA1PERIODO!C13</f>
        <v>NOTIFICACIONES</v>
      </c>
      <c r="F64" s="17" t="str">
        <f ca="1">TESORERIA1PERIODO!D13</f>
        <v>ASCENDENTE</v>
      </c>
      <c r="G64" s="17" t="str">
        <f ca="1">TESORERIA1PERIODO!E13</f>
        <v>BITACORA OPERATIVA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</row>
    <row r="65" spans="1:21" ht="39.75" customHeight="1">
      <c r="A65" s="53"/>
      <c r="B65" s="53"/>
      <c r="C65" s="22" t="s">
        <v>103</v>
      </c>
      <c r="D65" s="16">
        <v>150</v>
      </c>
      <c r="E65" s="17" t="str">
        <f ca="1">TESORERIA1PERIODO!C14</f>
        <v xml:space="preserve">TOMAS CLANDESTINAS </v>
      </c>
      <c r="F65" s="17" t="str">
        <f ca="1">TESORERIA1PERIODO!D14</f>
        <v>ASCENDENTE</v>
      </c>
      <c r="G65" s="17" t="str">
        <f ca="1">TESORERIA1PERIODO!E14</f>
        <v>BITACORA OPERATIVA</v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</row>
    <row r="66" spans="1:21" ht="39.75" customHeight="1">
      <c r="A66" s="53"/>
      <c r="B66" s="51"/>
      <c r="C66" s="22" t="s">
        <v>104</v>
      </c>
      <c r="D66" s="16">
        <v>400</v>
      </c>
      <c r="E66" s="17" t="str">
        <f ca="1">TESORERIA1PERIODO!C15</f>
        <v>INVITACIONES</v>
      </c>
      <c r="F66" s="17" t="str">
        <f ca="1">TESORERIA1PERIODO!D15</f>
        <v>ASCENDENTE</v>
      </c>
      <c r="G66" s="17" t="str">
        <f ca="1">TESORERIA1PERIODO!E15</f>
        <v>BITACORA OPERATIVA</v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</row>
    <row r="67" spans="1:21" ht="39.75" customHeight="1">
      <c r="A67" s="53"/>
      <c r="B67" s="23" t="s">
        <v>105</v>
      </c>
      <c r="C67" s="22" t="s">
        <v>106</v>
      </c>
      <c r="D67" s="16">
        <v>120</v>
      </c>
      <c r="E67" s="17" t="str">
        <f ca="1">TESORERIA1PERIODO!C16</f>
        <v>SOPORTES</v>
      </c>
      <c r="F67" s="17" t="str">
        <f ca="1">TESORERIA1PERIODO!D16</f>
        <v>ASCENDENTE</v>
      </c>
      <c r="G67" s="17" t="str">
        <f ca="1">TESORERIA1PERIODO!E16</f>
        <v>BITACORA OPERATIVA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</row>
    <row r="68" spans="1:21" ht="39.75" customHeight="1">
      <c r="A68" s="53"/>
      <c r="B68" s="50" t="s">
        <v>107</v>
      </c>
      <c r="C68" s="22" t="s">
        <v>108</v>
      </c>
      <c r="D68" s="16">
        <v>200</v>
      </c>
      <c r="E68" s="17" t="str">
        <f ca="1">TESORERIA1PERIODO!C17</f>
        <v>NUEVAS LICENCIAS</v>
      </c>
      <c r="F68" s="17" t="str">
        <f ca="1">TESORERIA1PERIODO!D17</f>
        <v>ASCENDENTE</v>
      </c>
      <c r="G68" s="17" t="str">
        <f ca="1">TESORERIA1PERIODO!E17</f>
        <v>BITACORA OPERATIVA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</row>
    <row r="69" spans="1:21" ht="39.75" customHeight="1">
      <c r="A69" s="53"/>
      <c r="B69" s="53"/>
      <c r="C69" s="22" t="s">
        <v>109</v>
      </c>
      <c r="D69" s="16">
        <v>1200</v>
      </c>
      <c r="E69" s="17" t="str">
        <f ca="1">TESORERIA1PERIODO!C18</f>
        <v>REFRENDOS</v>
      </c>
      <c r="F69" s="17" t="str">
        <f ca="1">TESORERIA1PERIODO!D18</f>
        <v>ASCENDENTE</v>
      </c>
      <c r="G69" s="17" t="str">
        <f ca="1">TESORERIA1PERIODO!E18</f>
        <v>BITACORA OPERATIVA</v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</row>
    <row r="70" spans="1:21" ht="39.75" customHeight="1">
      <c r="A70" s="53"/>
      <c r="B70" s="53"/>
      <c r="C70" s="22" t="s">
        <v>57</v>
      </c>
      <c r="D70" s="16">
        <v>15</v>
      </c>
      <c r="E70" s="17" t="str">
        <f ca="1">TESORERIA1PERIODO!C19</f>
        <v>CAMBIOS</v>
      </c>
      <c r="F70" s="17" t="str">
        <f ca="1">TESORERIA1PERIODO!D19</f>
        <v>ASCENDENTE</v>
      </c>
      <c r="G70" s="17" t="str">
        <f ca="1">TESORERIA1PERIODO!E19</f>
        <v>BITACORA OPERATIVA</v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</row>
    <row r="71" spans="1:21" ht="39.75" customHeight="1">
      <c r="A71" s="53"/>
      <c r="B71" s="53"/>
      <c r="C71" s="22" t="s">
        <v>110</v>
      </c>
      <c r="D71" s="16">
        <v>50</v>
      </c>
      <c r="E71" s="17" t="str">
        <f ca="1">TESORERIA1PERIODO!C20</f>
        <v>CAMBIOS</v>
      </c>
      <c r="F71" s="17" t="str">
        <f ca="1">TESORERIA1PERIODO!D20</f>
        <v>ASCENDENTE</v>
      </c>
      <c r="G71" s="17" t="str">
        <f ca="1">TESORERIA1PERIODO!E20</f>
        <v>BITACORA OPERATIVA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</row>
    <row r="72" spans="1:21" ht="39.75" customHeight="1">
      <c r="A72" s="53"/>
      <c r="B72" s="53"/>
      <c r="C72" s="22" t="s">
        <v>111</v>
      </c>
      <c r="D72" s="16">
        <v>5</v>
      </c>
      <c r="E72" s="17" t="str">
        <f ca="1">TESORERIA1PERIODO!C21</f>
        <v>NUEVAS LICENCIAS</v>
      </c>
      <c r="F72" s="17" t="str">
        <f ca="1">TESORERIA1PERIODO!D21</f>
        <v>ASCENDENTE</v>
      </c>
      <c r="G72" s="17" t="str">
        <f ca="1">TESORERIA1PERIODO!E21</f>
        <v>BITACORA OPERATIVA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</row>
    <row r="73" spans="1:21" ht="39.75" customHeight="1">
      <c r="A73" s="53"/>
      <c r="B73" s="53"/>
      <c r="C73" s="22" t="s">
        <v>112</v>
      </c>
      <c r="D73" s="16">
        <v>150</v>
      </c>
      <c r="E73" s="17" t="str">
        <f ca="1">TESORERIA1PERIODO!C22</f>
        <v>REFRENDOS</v>
      </c>
      <c r="F73" s="17" t="str">
        <f ca="1">TESORERIA1PERIODO!D22</f>
        <v>ASCENDENTE</v>
      </c>
      <c r="G73" s="17" t="str">
        <f ca="1">TESORERIA1PERIODO!E22</f>
        <v>BITACORA OPERATIVA</v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</row>
    <row r="74" spans="1:21" ht="39.75" customHeight="1">
      <c r="A74" s="53"/>
      <c r="B74" s="53"/>
      <c r="C74" s="22" t="s">
        <v>113</v>
      </c>
      <c r="D74" s="16">
        <v>10</v>
      </c>
      <c r="E74" s="17" t="str">
        <f ca="1">TESORERIA1PERIODO!C23</f>
        <v>CAMBIOS</v>
      </c>
      <c r="F74" s="17" t="str">
        <f ca="1">TESORERIA1PERIODO!D23</f>
        <v>ASCENDENTE</v>
      </c>
      <c r="G74" s="17" t="str">
        <f ca="1">TESORERIA1PERIODO!E23</f>
        <v>BITACORA OPERATIVA</v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</row>
    <row r="75" spans="1:21" ht="39.75" customHeight="1">
      <c r="A75" s="53"/>
      <c r="B75" s="53"/>
      <c r="C75" s="22" t="s">
        <v>114</v>
      </c>
      <c r="D75" s="16">
        <v>220</v>
      </c>
      <c r="E75" s="17" t="str">
        <f ca="1">TESORERIA1PERIODO!C24</f>
        <v>COMERCIOS AMBULANTES</v>
      </c>
      <c r="F75" s="17" t="str">
        <f ca="1">TESORERIA1PERIODO!D24</f>
        <v>ASCENDENTE</v>
      </c>
      <c r="G75" s="17" t="str">
        <f ca="1">TESORERIA1PERIODO!E24</f>
        <v>BITACORA OPERATIVA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</row>
    <row r="76" spans="1:21" ht="39.75" customHeight="1">
      <c r="A76" s="53"/>
      <c r="B76" s="53"/>
      <c r="C76" s="22" t="s">
        <v>115</v>
      </c>
      <c r="D76" s="16">
        <v>100</v>
      </c>
      <c r="E76" s="17" t="str">
        <f ca="1">TESORERIA1PERIODO!C25</f>
        <v>ESPACIOS</v>
      </c>
      <c r="F76" s="17" t="str">
        <f ca="1">TESORERIA1PERIODO!D25</f>
        <v>ASCENDENTE</v>
      </c>
      <c r="G76" s="17" t="str">
        <f ca="1">TESORERIA1PERIODO!E25</f>
        <v>BITACORA OPERATIVA</v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</row>
    <row r="77" spans="1:21" ht="39.75" customHeight="1">
      <c r="A77" s="51"/>
      <c r="B77" s="51"/>
      <c r="C77" s="22" t="s">
        <v>116</v>
      </c>
      <c r="D77" s="16">
        <v>4</v>
      </c>
      <c r="E77" s="17" t="str">
        <f ca="1">TESORERIA1PERIODO!C26</f>
        <v>CAMBIOS</v>
      </c>
      <c r="F77" s="17" t="str">
        <f ca="1">TESORERIA1PERIODO!D26</f>
        <v>ASCENDENTE</v>
      </c>
      <c r="G77" s="17" t="str">
        <f ca="1">TESORERIA1PERIODO!E26</f>
        <v>BITACORA OPERATIVA</v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</row>
    <row r="78" spans="1:21" ht="39.75" customHeight="1">
      <c r="A78" s="52" t="s">
        <v>117</v>
      </c>
      <c r="B78" s="52" t="s">
        <v>118</v>
      </c>
      <c r="C78" s="12" t="s">
        <v>119</v>
      </c>
      <c r="D78" s="16">
        <f ca="1">'1PERIODOCONTRALORIA'!B2</f>
        <v>5</v>
      </c>
      <c r="E78" s="16" t="str">
        <f ca="1">'1PERIODOCONTRALORIA'!C2</f>
        <v>AUDITORIAS</v>
      </c>
      <c r="F78" s="16" t="str">
        <f ca="1">'1PERIODOCONTRALORIA'!D2</f>
        <v>ASCENDENTE</v>
      </c>
      <c r="G78" s="16" t="str">
        <f ca="1">'1PERIODOCONTRALORIA'!E2</f>
        <v>BITACORA OPERATIVA</v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</row>
    <row r="79" spans="1:21" ht="39.75" customHeight="1">
      <c r="A79" s="53"/>
      <c r="B79" s="53"/>
      <c r="C79" s="12" t="s">
        <v>120</v>
      </c>
      <c r="D79" s="16">
        <f ca="1">'1PERIODOCONTRALORIA'!B3</f>
        <v>8</v>
      </c>
      <c r="E79" s="16" t="str">
        <f ca="1">'1PERIODOCONTRALORIA'!C3</f>
        <v>AUDITORIAS</v>
      </c>
      <c r="F79" s="16" t="str">
        <f ca="1">'1PERIODOCONTRALORIA'!D3</f>
        <v>ASCENDENTE</v>
      </c>
      <c r="G79" s="16" t="str">
        <f ca="1">'1PERIODOCONTRALORIA'!E3</f>
        <v>BITACORA OPERATIVA</v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</row>
    <row r="80" spans="1:21" ht="39.75" customHeight="1">
      <c r="A80" s="53"/>
      <c r="B80" s="53"/>
      <c r="C80" s="12" t="s">
        <v>121</v>
      </c>
      <c r="D80" s="16">
        <f ca="1">'1PERIODOCONTRALORIA'!B4</f>
        <v>3</v>
      </c>
      <c r="E80" s="16" t="str">
        <f ca="1">'1PERIODOCONTRALORIA'!C4</f>
        <v xml:space="preserve">ACTAS </v>
      </c>
      <c r="F80" s="16" t="str">
        <f ca="1">'1PERIODOCONTRALORIA'!D4</f>
        <v>ASCENDENTE</v>
      </c>
      <c r="G80" s="16" t="str">
        <f ca="1">'1PERIODOCONTRALORIA'!E4</f>
        <v>BITACORA OPERATIVA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</row>
    <row r="81" spans="1:21" ht="39.75" customHeight="1">
      <c r="A81" s="53"/>
      <c r="B81" s="53"/>
      <c r="C81" s="12" t="s">
        <v>122</v>
      </c>
      <c r="D81" s="16">
        <f ca="1">'1PERIODOCONTRALORIA'!B5</f>
        <v>4</v>
      </c>
      <c r="E81" s="16" t="str">
        <f ca="1">'1PERIODOCONTRALORIA'!C5</f>
        <v>UNIDADES</v>
      </c>
      <c r="F81" s="16" t="str">
        <f ca="1">'1PERIODOCONTRALORIA'!D5</f>
        <v>ASCENDENTE</v>
      </c>
      <c r="G81" s="16" t="str">
        <f ca="1">'1PERIODOCONTRALORIA'!E5</f>
        <v>BITACORA OPERATIVA</v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</row>
    <row r="82" spans="1:21" ht="39.75" customHeight="1">
      <c r="A82" s="53"/>
      <c r="B82" s="53"/>
      <c r="C82" s="12" t="s">
        <v>123</v>
      </c>
      <c r="D82" s="16">
        <f ca="1">'1PERIODOCONTRALORIA'!B6</f>
        <v>6</v>
      </c>
      <c r="E82" s="16" t="str">
        <f ca="1">'1PERIODOCONTRALORIA'!C6</f>
        <v>CEDULAS</v>
      </c>
      <c r="F82" s="16" t="str">
        <f ca="1">'1PERIODOCONTRALORIA'!D6</f>
        <v>ASCENDENTE</v>
      </c>
      <c r="G82" s="16" t="str">
        <f ca="1">'1PERIODOCONTRALORIA'!E6</f>
        <v>BITACORA OPERATIVA</v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</row>
    <row r="83" spans="1:21" ht="39.75" customHeight="1">
      <c r="A83" s="53"/>
      <c r="B83" s="53"/>
      <c r="C83" s="12" t="s">
        <v>124</v>
      </c>
      <c r="D83" s="16">
        <f ca="1">'1PERIODOCONTRALORIA'!B7</f>
        <v>255</v>
      </c>
      <c r="E83" s="16" t="str">
        <f ca="1">'1PERIODOCONTRALORIA'!C7</f>
        <v>DOCUMENTOS EVALUADOS</v>
      </c>
      <c r="F83" s="16" t="str">
        <f ca="1">'1PERIODOCONTRALORIA'!D7</f>
        <v>ASCENDENTE</v>
      </c>
      <c r="G83" s="16" t="str">
        <f ca="1">'1PERIODOCONTRALORIA'!E7</f>
        <v>BITACORA OPERATIVA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</row>
    <row r="84" spans="1:21" ht="39.75" customHeight="1">
      <c r="A84" s="53"/>
      <c r="B84" s="53"/>
      <c r="C84" s="12" t="s">
        <v>125</v>
      </c>
      <c r="D84" s="16">
        <f ca="1">'1PERIODOCONTRALORIA'!B8</f>
        <v>60</v>
      </c>
      <c r="E84" s="16" t="str">
        <f ca="1">'1PERIODOCONTRALORIA'!C8</f>
        <v>OBSERVACIONES</v>
      </c>
      <c r="F84" s="16" t="str">
        <f ca="1">'1PERIODOCONTRALORIA'!D8</f>
        <v>ASCENDENTE</v>
      </c>
      <c r="G84" s="16" t="str">
        <f ca="1">'1PERIODOCONTRALORIA'!E8</f>
        <v>BITACORA OPERATIVA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</row>
    <row r="85" spans="1:21" ht="39.75" customHeight="1">
      <c r="A85" s="53"/>
      <c r="B85" s="51"/>
      <c r="C85" s="12" t="s">
        <v>126</v>
      </c>
      <c r="D85" s="16">
        <f ca="1">'1PERIODOCONTRALORIA'!B9</f>
        <v>5</v>
      </c>
      <c r="E85" s="16" t="str">
        <f ca="1">'1PERIODOCONTRALORIA'!C9</f>
        <v>AUDITORIAS FINALIZADAS</v>
      </c>
      <c r="F85" s="16" t="str">
        <f ca="1">'1PERIODOCONTRALORIA'!D9</f>
        <v>ASCENDENTE</v>
      </c>
      <c r="G85" s="16" t="str">
        <f ca="1">'1PERIODOCONTRALORIA'!E9</f>
        <v>BITACORA OPERATIVA</v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ht="39.75" customHeight="1">
      <c r="A86" s="53"/>
      <c r="B86" s="52" t="s">
        <v>127</v>
      </c>
      <c r="C86" s="12" t="s">
        <v>128</v>
      </c>
      <c r="D86" s="16">
        <f ca="1">'1PERIODOCONTRALORIA'!B10</f>
        <v>3</v>
      </c>
      <c r="E86" s="16" t="str">
        <f ca="1">'1PERIODOCONTRALORIA'!C10</f>
        <v>AUDITORIAS</v>
      </c>
      <c r="F86" s="16" t="str">
        <f ca="1">'1PERIODOCONTRALORIA'!D10</f>
        <v>ASCENDENTE</v>
      </c>
      <c r="G86" s="16" t="str">
        <f ca="1">'1PERIODOCONTRALORIA'!E10</f>
        <v>BITACORA OPERATIVA</v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ht="39.75" customHeight="1">
      <c r="A87" s="53"/>
      <c r="B87" s="53"/>
      <c r="C87" s="12" t="s">
        <v>129</v>
      </c>
      <c r="D87" s="16">
        <f ca="1">'1PERIODOCONTRALORIA'!B11</f>
        <v>1</v>
      </c>
      <c r="E87" s="16" t="str">
        <f ca="1">'1PERIODOCONTRALORIA'!C11</f>
        <v>AUDITORIAS</v>
      </c>
      <c r="F87" s="16" t="str">
        <f ca="1">'1PERIODOCONTRALORIA'!D11</f>
        <v>ASCENDENTE</v>
      </c>
      <c r="G87" s="16" t="str">
        <f ca="1">'1PERIODOCONTRALORIA'!E11</f>
        <v>BITACORA OPERATIVA</v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ht="39.75" customHeight="1">
      <c r="A88" s="53"/>
      <c r="B88" s="53"/>
      <c r="C88" s="12" t="s">
        <v>130</v>
      </c>
      <c r="D88" s="16">
        <f ca="1">'1PERIODOCONTRALORIA'!B12</f>
        <v>1</v>
      </c>
      <c r="E88" s="16" t="str">
        <f ca="1">'1PERIODOCONTRALORIA'!C12</f>
        <v>AUDITORIAS</v>
      </c>
      <c r="F88" s="16" t="str">
        <f ca="1">'1PERIODOCONTRALORIA'!D12</f>
        <v>ASCENDENTE</v>
      </c>
      <c r="G88" s="16" t="str">
        <f ca="1">'1PERIODOCONTRALORIA'!E12</f>
        <v>BITACORA OPERATIVA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ht="39.75" customHeight="1">
      <c r="A89" s="53"/>
      <c r="B89" s="53"/>
      <c r="C89" s="12" t="s">
        <v>131</v>
      </c>
      <c r="D89" s="16">
        <f ca="1">'1PERIODOCONTRALORIA'!B13</f>
        <v>1</v>
      </c>
      <c r="E89" s="16" t="str">
        <f ca="1">'1PERIODOCONTRALORIA'!C13</f>
        <v>AUDITORIAS</v>
      </c>
      <c r="F89" s="16" t="str">
        <f ca="1">'1PERIODOCONTRALORIA'!D13</f>
        <v>ASCENDENTE</v>
      </c>
      <c r="G89" s="16" t="str">
        <f ca="1">'1PERIODOCONTRALORIA'!E13</f>
        <v>BITACORA OPERATIVA</v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ht="39.75" customHeight="1">
      <c r="A90" s="53"/>
      <c r="B90" s="51"/>
      <c r="C90" s="12" t="s">
        <v>132</v>
      </c>
      <c r="D90" s="16">
        <f ca="1">'1PERIODOCONTRALORIA'!B14</f>
        <v>1</v>
      </c>
      <c r="E90" s="16" t="str">
        <f ca="1">'1PERIODOCONTRALORIA'!C14</f>
        <v>AUDITORIAS</v>
      </c>
      <c r="F90" s="16" t="str">
        <f ca="1">'1PERIODOCONTRALORIA'!D14</f>
        <v>ASCENDENTE</v>
      </c>
      <c r="G90" s="16" t="str">
        <f ca="1">'1PERIODOCONTRALORIA'!E14</f>
        <v>BITACORA OPERATIVA</v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ht="39.75" customHeight="1">
      <c r="A91" s="53"/>
      <c r="B91" s="52" t="s">
        <v>133</v>
      </c>
      <c r="C91" s="12" t="s">
        <v>134</v>
      </c>
      <c r="D91" s="16">
        <f ca="1">'1PERIODOCONTRALORIA'!B15</f>
        <v>470</v>
      </c>
      <c r="E91" s="16" t="str">
        <f ca="1">'1PERIODOCONTRALORIA'!C15</f>
        <v xml:space="preserve">DECLARACIONES </v>
      </c>
      <c r="F91" s="16" t="str">
        <f ca="1">'1PERIODOCONTRALORIA'!D15</f>
        <v>ASCENDENTE</v>
      </c>
      <c r="G91" s="16" t="str">
        <f ca="1">'1PERIODOCONTRALORIA'!E15</f>
        <v>BITACORA OPERATIVA</v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ht="39.75" customHeight="1">
      <c r="A92" s="53"/>
      <c r="B92" s="53"/>
      <c r="C92" s="12" t="s">
        <v>135</v>
      </c>
      <c r="D92" s="16">
        <f ca="1">'1PERIODOCONTRALORIA'!B16</f>
        <v>250</v>
      </c>
      <c r="E92" s="16" t="str">
        <f ca="1">'1PERIODOCONTRALORIA'!C16</f>
        <v xml:space="preserve">DECLARACIONES </v>
      </c>
      <c r="F92" s="16" t="str">
        <f ca="1">'1PERIODOCONTRALORIA'!D16</f>
        <v>ASCENDENTE</v>
      </c>
      <c r="G92" s="16" t="str">
        <f ca="1">'1PERIODOCONTRALORIA'!E16</f>
        <v>BITACORA OPERATIVA</v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</row>
    <row r="93" spans="1:21" ht="39.75" customHeight="1">
      <c r="A93" s="53"/>
      <c r="B93" s="53"/>
      <c r="C93" s="12" t="s">
        <v>136</v>
      </c>
      <c r="D93" s="16">
        <f ca="1">'1PERIODOCONTRALORIA'!B17</f>
        <v>75</v>
      </c>
      <c r="E93" s="16" t="str">
        <f ca="1">'1PERIODOCONTRALORIA'!C17</f>
        <v>PROCEDIMIENTOS</v>
      </c>
      <c r="F93" s="16" t="str">
        <f ca="1">'1PERIODOCONTRALORIA'!D17</f>
        <v>ASCENDENTE</v>
      </c>
      <c r="G93" s="16" t="str">
        <f ca="1">'1PERIODOCONTRALORIA'!E17</f>
        <v>BITACORA OPERATIVA</v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</row>
    <row r="94" spans="1:21" ht="39.75" customHeight="1">
      <c r="A94" s="53"/>
      <c r="B94" s="53"/>
      <c r="C94" s="12" t="s">
        <v>137</v>
      </c>
      <c r="D94" s="16">
        <f ca="1">'1PERIODOCONTRALORIA'!B18</f>
        <v>418</v>
      </c>
      <c r="E94" s="16" t="str">
        <f ca="1">'1PERIODOCONTRALORIA'!C18</f>
        <v>PROCEDIMIENTOS</v>
      </c>
      <c r="F94" s="16" t="str">
        <f ca="1">'1PERIODOCONTRALORIA'!D18</f>
        <v>ASCENDENTE</v>
      </c>
      <c r="G94" s="16" t="str">
        <f ca="1">'1PERIODOCONTRALORIA'!E18</f>
        <v>BITACORA OPERATIVA</v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</row>
    <row r="95" spans="1:21" ht="39.75" customHeight="1">
      <c r="A95" s="51"/>
      <c r="B95" s="51"/>
      <c r="C95" s="12" t="s">
        <v>138</v>
      </c>
      <c r="D95" s="16">
        <f ca="1">'1PERIODOCONTRALORIA'!B19</f>
        <v>100</v>
      </c>
      <c r="E95" s="16" t="str">
        <f ca="1">'1PERIODOCONTRALORIA'!C19</f>
        <v>PROCEDIMIENTOS</v>
      </c>
      <c r="F95" s="16" t="str">
        <f ca="1">'1PERIODOCONTRALORIA'!D19</f>
        <v>ASCENDENTE</v>
      </c>
      <c r="G95" s="16" t="str">
        <f ca="1">'1PERIODOCONTRALORIA'!E19</f>
        <v>BITACORA OPERATIVA</v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</row>
    <row r="96" spans="1:21" ht="39.75" customHeight="1">
      <c r="A96" s="55" t="s">
        <v>139</v>
      </c>
      <c r="B96" s="55" t="s">
        <v>140</v>
      </c>
      <c r="C96" s="7" t="s">
        <v>141</v>
      </c>
      <c r="D96" s="16">
        <v>15</v>
      </c>
      <c r="E96" s="16" t="s">
        <v>508</v>
      </c>
      <c r="F96" s="17" t="str">
        <f ca="1">'1ER PERIODOADMINISTRACION'!D2</f>
        <v>ASCENDENTE</v>
      </c>
      <c r="G96" s="17" t="str">
        <f ca="1">'1ER PERIODOADMINISTRACION'!E2</f>
        <v>SESIONES PUBLICAS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</row>
    <row r="97" spans="1:21" ht="39.75" customHeight="1">
      <c r="A97" s="53"/>
      <c r="B97" s="53"/>
      <c r="C97" s="7" t="s">
        <v>142</v>
      </c>
      <c r="D97" s="16">
        <v>5</v>
      </c>
      <c r="E97" s="16" t="s">
        <v>142</v>
      </c>
      <c r="F97" s="17" t="str">
        <f ca="1">'1ER PERIODOADMINISTRACION'!D3</f>
        <v>ASCENDENTE</v>
      </c>
      <c r="G97" s="17" t="str">
        <f ca="1">'1ER PERIODOADMINISTRACION'!E3</f>
        <v>BITACORA DE ATENCION</v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ht="39.75" customHeight="1">
      <c r="A98" s="53"/>
      <c r="B98" s="53"/>
      <c r="C98" s="7" t="s">
        <v>143</v>
      </c>
      <c r="D98" s="16">
        <v>5000</v>
      </c>
      <c r="E98" s="16" t="s">
        <v>509</v>
      </c>
      <c r="F98" s="17" t="str">
        <f ca="1">'1ER PERIODOADMINISTRACION'!D4</f>
        <v>ASCENDENTE</v>
      </c>
      <c r="G98" s="17" t="str">
        <f ca="1">'1ER PERIODOADMINISTRACION'!E4</f>
        <v>BITACORA DE ATENCION</v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ht="39.75" customHeight="1">
      <c r="A99" s="53"/>
      <c r="B99" s="51"/>
      <c r="C99" s="7" t="s">
        <v>144</v>
      </c>
      <c r="D99" s="16">
        <v>700</v>
      </c>
      <c r="E99" s="16" t="s">
        <v>510</v>
      </c>
      <c r="F99" s="17" t="str">
        <f ca="1">'1ER PERIODOADMINISTRACION'!D5</f>
        <v>ASCENDENTE</v>
      </c>
      <c r="G99" s="17" t="str">
        <f ca="1">'1ER PERIODOADMINISTRACION'!E5</f>
        <v>BITACORA OPERATIVA</v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ht="39.75" customHeight="1">
      <c r="A100" s="53"/>
      <c r="B100" s="55" t="s">
        <v>145</v>
      </c>
      <c r="C100" s="7" t="s">
        <v>146</v>
      </c>
      <c r="D100" s="16">
        <v>5</v>
      </c>
      <c r="E100" s="16" t="s">
        <v>511</v>
      </c>
      <c r="F100" s="17" t="str">
        <f ca="1">'1ER PERIODOADMINISTRACION'!D6</f>
        <v>ASCENDENTE</v>
      </c>
      <c r="G100" s="17" t="str">
        <f ca="1">'1ER PERIODOADMINISTRACION'!E6</f>
        <v>BITACORA OPERATIVA</v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ht="39.75" customHeight="1">
      <c r="A101" s="53"/>
      <c r="B101" s="53"/>
      <c r="C101" s="7" t="s">
        <v>147</v>
      </c>
      <c r="D101" s="16">
        <v>10</v>
      </c>
      <c r="E101" s="16" t="s">
        <v>511</v>
      </c>
      <c r="F101" s="17" t="str">
        <f ca="1">'1ER PERIODOADMINISTRACION'!D7</f>
        <v>ASCENDENTE</v>
      </c>
      <c r="G101" s="17" t="str">
        <f ca="1">'1ER PERIODOADMINISTRACION'!E7</f>
        <v>BITACORA OPERATIVA</v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ht="39.75" customHeight="1">
      <c r="A102" s="53"/>
      <c r="B102" s="53"/>
      <c r="C102" s="7" t="s">
        <v>148</v>
      </c>
      <c r="D102" s="16">
        <v>5</v>
      </c>
      <c r="E102" s="16" t="s">
        <v>511</v>
      </c>
      <c r="F102" s="17" t="str">
        <f ca="1">'1ER PERIODOADMINISTRACION'!D8</f>
        <v>ASCENDENTE</v>
      </c>
      <c r="G102" s="17" t="str">
        <f ca="1">'1ER PERIODOADMINISTRACION'!E8</f>
        <v>BITACORA OPERATIVA</v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ht="39.75" customHeight="1">
      <c r="A103" s="53"/>
      <c r="B103" s="53"/>
      <c r="C103" s="7" t="s">
        <v>149</v>
      </c>
      <c r="D103" s="16">
        <v>15</v>
      </c>
      <c r="E103" s="16" t="s">
        <v>511</v>
      </c>
      <c r="F103" s="17" t="str">
        <f ca="1">'1ER PERIODOADMINISTRACION'!D9</f>
        <v>ASCENDENTE</v>
      </c>
      <c r="G103" s="17" t="str">
        <f ca="1">'1ER PERIODOADMINISTRACION'!E9</f>
        <v>BITACORA OPERATIVA</v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ht="39.75" customHeight="1">
      <c r="A104" s="53"/>
      <c r="B104" s="53"/>
      <c r="C104" s="7" t="s">
        <v>150</v>
      </c>
      <c r="D104" s="16">
        <v>5</v>
      </c>
      <c r="E104" s="16" t="s">
        <v>511</v>
      </c>
      <c r="F104" s="17" t="str">
        <f ca="1">'1ER PERIODOADMINISTRACION'!D10</f>
        <v>ASCENDENTE</v>
      </c>
      <c r="G104" s="17" t="str">
        <f ca="1">'1ER PERIODOADMINISTRACION'!E10</f>
        <v>BITACORA OPERATIVA</v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ht="39.75" customHeight="1">
      <c r="A105" s="53"/>
      <c r="B105" s="53"/>
      <c r="C105" s="7" t="s">
        <v>151</v>
      </c>
      <c r="D105" s="16">
        <v>6</v>
      </c>
      <c r="E105" s="16" t="s">
        <v>511</v>
      </c>
      <c r="F105" s="17" t="str">
        <f ca="1">'1ER PERIODOADMINISTRACION'!D11</f>
        <v>ASCENDENTE</v>
      </c>
      <c r="G105" s="17" t="str">
        <f ca="1">'1ER PERIODOADMINISTRACION'!E11</f>
        <v>BITACORA OPERATIVA</v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ht="39.75" customHeight="1">
      <c r="A106" s="53"/>
      <c r="B106" s="53"/>
      <c r="C106" s="7" t="s">
        <v>152</v>
      </c>
      <c r="D106" s="16">
        <v>13</v>
      </c>
      <c r="E106" s="16" t="s">
        <v>511</v>
      </c>
      <c r="F106" s="17" t="str">
        <f ca="1">'1ER PERIODOADMINISTRACION'!D12</f>
        <v>ASCENDENTE</v>
      </c>
      <c r="G106" s="17" t="str">
        <f ca="1">'1ER PERIODOADMINISTRACION'!E12</f>
        <v>BITACORA OPERATIVA</v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ht="39.75" customHeight="1">
      <c r="A107" s="53"/>
      <c r="B107" s="53"/>
      <c r="C107" s="7" t="s">
        <v>153</v>
      </c>
      <c r="D107" s="16">
        <v>3</v>
      </c>
      <c r="E107" s="16" t="s">
        <v>511</v>
      </c>
      <c r="F107" s="17" t="str">
        <f ca="1">'1ER PERIODOADMINISTRACION'!D13</f>
        <v>ASCENDENTE</v>
      </c>
      <c r="G107" s="17" t="str">
        <f ca="1">'1ER PERIODOADMINISTRACION'!E13</f>
        <v>BITACORA OPERATIVA</v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ht="39.75" customHeight="1">
      <c r="A108" s="53"/>
      <c r="B108" s="53"/>
      <c r="C108" s="7" t="s">
        <v>154</v>
      </c>
      <c r="D108" s="16">
        <v>100</v>
      </c>
      <c r="E108" s="16" t="s">
        <v>511</v>
      </c>
      <c r="F108" s="17" t="str">
        <f ca="1">'1ER PERIODOADMINISTRACION'!D14</f>
        <v>ASCENDENTE</v>
      </c>
      <c r="G108" s="17" t="str">
        <f ca="1">'1ER PERIODOADMINISTRACION'!E14</f>
        <v>BITACORA OPERATIVA</v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ht="39.75" customHeight="1">
      <c r="A109" s="53"/>
      <c r="B109" s="53"/>
      <c r="C109" s="7" t="s">
        <v>155</v>
      </c>
      <c r="D109" s="16">
        <v>100</v>
      </c>
      <c r="E109" s="16" t="s">
        <v>511</v>
      </c>
      <c r="F109" s="17" t="str">
        <f ca="1">'1ER PERIODOADMINISTRACION'!D15</f>
        <v>ASCENDENTE</v>
      </c>
      <c r="G109" s="17" t="str">
        <f ca="1">'1ER PERIODOADMINISTRACION'!E15</f>
        <v>BITACORA OPERATIVA</v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ht="39.75" customHeight="1">
      <c r="A110" s="53"/>
      <c r="B110" s="53"/>
      <c r="C110" s="7" t="s">
        <v>156</v>
      </c>
      <c r="D110" s="16">
        <v>15</v>
      </c>
      <c r="E110" s="16" t="s">
        <v>512</v>
      </c>
      <c r="F110" s="16" t="s">
        <v>289</v>
      </c>
      <c r="G110" s="17" t="str">
        <f ca="1">'1ER PERIODOADMINISTRACION'!E16</f>
        <v>BITACORA OPERATIVA</v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ht="39.75" customHeight="1">
      <c r="A111" s="53"/>
      <c r="B111" s="53"/>
      <c r="C111" s="7" t="s">
        <v>157</v>
      </c>
      <c r="D111" s="16">
        <v>100</v>
      </c>
      <c r="E111" s="16" t="s">
        <v>513</v>
      </c>
      <c r="F111" s="17" t="str">
        <f ca="1">'1ER PERIODOADMINISTRACION'!D17</f>
        <v>ASCENDENTE</v>
      </c>
      <c r="G111" s="17" t="str">
        <f ca="1">'1ER PERIODOADMINISTRACION'!E17</f>
        <v>BITACORA OPERATIVA</v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ht="39.75" customHeight="1">
      <c r="A112" s="53"/>
      <c r="B112" s="53"/>
      <c r="C112" s="7" t="s">
        <v>158</v>
      </c>
      <c r="D112" s="16">
        <v>1200</v>
      </c>
      <c r="E112" s="16" t="s">
        <v>514</v>
      </c>
      <c r="F112" s="17" t="str">
        <f ca="1">'1ER PERIODOADMINISTRACION'!D18</f>
        <v>ASCENDENTE</v>
      </c>
      <c r="G112" s="17" t="str">
        <f ca="1">'1ER PERIODOADMINISTRACION'!E18</f>
        <v>BITACORA OPERATIVA</v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ht="39.75" customHeight="1">
      <c r="A113" s="53"/>
      <c r="B113" s="53"/>
      <c r="C113" s="7" t="s">
        <v>159</v>
      </c>
      <c r="D113" s="16">
        <v>150</v>
      </c>
      <c r="E113" s="16" t="s">
        <v>514</v>
      </c>
      <c r="F113" s="17" t="str">
        <f ca="1">'1ER PERIODOADMINISTRACION'!D19</f>
        <v>ASCENDENTE</v>
      </c>
      <c r="G113" s="17" t="str">
        <f ca="1">'1ER PERIODOADMINISTRACION'!E19</f>
        <v>BITACORA OPERATIVA</v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ht="39.75" customHeight="1">
      <c r="A114" s="53"/>
      <c r="B114" s="53"/>
      <c r="C114" s="7" t="s">
        <v>160</v>
      </c>
      <c r="D114" s="16">
        <v>30</v>
      </c>
      <c r="E114" s="16" t="s">
        <v>514</v>
      </c>
      <c r="F114" s="17" t="str">
        <f ca="1">'1ER PERIODOADMINISTRACION'!D20</f>
        <v>ASCENDENTE</v>
      </c>
      <c r="G114" s="17" t="str">
        <f ca="1">'1ER PERIODOADMINISTRACION'!E20</f>
        <v>BITACORA OPERATIVA</v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ht="39.75" customHeight="1">
      <c r="A115" s="53"/>
      <c r="B115" s="53"/>
      <c r="C115" s="7" t="s">
        <v>161</v>
      </c>
      <c r="D115" s="17">
        <f ca="1">'1ER PERIODOADMINISTRACION'!B21</f>
        <v>3</v>
      </c>
      <c r="E115" s="16" t="s">
        <v>514</v>
      </c>
      <c r="F115" s="16" t="s">
        <v>289</v>
      </c>
      <c r="G115" s="17" t="str">
        <f ca="1">'1ER PERIODOADMINISTRACION'!E21</f>
        <v>BITACORA OPERATIVA</v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ht="39.75" customHeight="1">
      <c r="A116" s="53"/>
      <c r="B116" s="53"/>
      <c r="C116" s="7" t="s">
        <v>162</v>
      </c>
      <c r="D116" s="16">
        <v>10</v>
      </c>
      <c r="E116" s="16" t="s">
        <v>514</v>
      </c>
      <c r="F116" s="17" t="str">
        <f ca="1">'1ER PERIODOADMINISTRACION'!D22</f>
        <v>ASCENDENTE</v>
      </c>
      <c r="G116" s="17" t="str">
        <f ca="1">'1ER PERIODOADMINISTRACION'!E22</f>
        <v>BITACORA OPERATIVA</v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ht="39.75" customHeight="1">
      <c r="A117" s="53"/>
      <c r="B117" s="53"/>
      <c r="C117" s="7" t="s">
        <v>163</v>
      </c>
      <c r="D117" s="16">
        <v>80</v>
      </c>
      <c r="E117" s="16" t="s">
        <v>515</v>
      </c>
      <c r="F117" s="17" t="str">
        <f ca="1">'1ER PERIODOADMINISTRACION'!D23</f>
        <v>ASCENDENTE</v>
      </c>
      <c r="G117" s="17" t="str">
        <f ca="1">'1ER PERIODOADMINISTRACION'!E23</f>
        <v>BITACORA OPERATIVA</v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ht="39.75" customHeight="1">
      <c r="A118" s="53"/>
      <c r="B118" s="51"/>
      <c r="C118" s="7" t="s">
        <v>164</v>
      </c>
      <c r="D118" s="16">
        <v>15</v>
      </c>
      <c r="E118" s="16" t="s">
        <v>514</v>
      </c>
      <c r="F118" s="17" t="str">
        <f ca="1">'1ER PERIODOADMINISTRACION'!D24</f>
        <v>ASCENDENTE</v>
      </c>
      <c r="G118" s="17" t="str">
        <f ca="1">'1ER PERIODOADMINISTRACION'!E24</f>
        <v>BITACORA OPERATIVA</v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ht="39.75" customHeight="1">
      <c r="A119" s="53"/>
      <c r="B119" s="55" t="s">
        <v>165</v>
      </c>
      <c r="C119" s="7" t="s">
        <v>166</v>
      </c>
      <c r="D119" s="16">
        <v>700</v>
      </c>
      <c r="E119" s="16" t="s">
        <v>516</v>
      </c>
      <c r="F119" s="17" t="str">
        <f ca="1">'1ER PERIODOADMINISTRACION'!D25</f>
        <v>DECENDENTE</v>
      </c>
      <c r="G119" s="17" t="str">
        <f ca="1">'1ER PERIODOADMINISTRACION'!E25</f>
        <v>BITACORA OPERATIVA</v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ht="39.75" customHeight="1">
      <c r="A120" s="53"/>
      <c r="B120" s="53"/>
      <c r="C120" s="7" t="s">
        <v>167</v>
      </c>
      <c r="D120" s="16">
        <v>250</v>
      </c>
      <c r="E120" s="16" t="s">
        <v>516</v>
      </c>
      <c r="F120" s="17" t="str">
        <f ca="1">'1ER PERIODOADMINISTRACION'!D26</f>
        <v>DECENDENTE</v>
      </c>
      <c r="G120" s="17" t="str">
        <f ca="1">'1ER PERIODOADMINISTRACION'!E26</f>
        <v>BITACORA OPERATIVA</v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ht="39.75" customHeight="1">
      <c r="A121" s="53"/>
      <c r="B121" s="53"/>
      <c r="C121" s="7" t="s">
        <v>168</v>
      </c>
      <c r="D121" s="16">
        <v>450</v>
      </c>
      <c r="E121" s="16" t="s">
        <v>516</v>
      </c>
      <c r="F121" s="17" t="str">
        <f ca="1">'1ER PERIODOADMINISTRACION'!D27</f>
        <v>ASCENDENTE</v>
      </c>
      <c r="G121" s="17" t="str">
        <f ca="1">'1ER PERIODOADMINISTRACION'!E27</f>
        <v>BITACORA OPERATIVA</v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ht="39.75" customHeight="1">
      <c r="A122" s="53"/>
      <c r="B122" s="53"/>
      <c r="C122" s="7" t="s">
        <v>169</v>
      </c>
      <c r="D122" s="16">
        <v>15</v>
      </c>
      <c r="E122" s="16" t="s">
        <v>516</v>
      </c>
      <c r="F122" s="17" t="str">
        <f ca="1">'1ER PERIODOADMINISTRACION'!D28</f>
        <v>ASCENDENTE</v>
      </c>
      <c r="G122" s="17" t="str">
        <f ca="1">'1ER PERIODOADMINISTRACION'!E28</f>
        <v>BITACORA OPERATIVA</v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ht="39.75" customHeight="1">
      <c r="A123" s="53"/>
      <c r="B123" s="53"/>
      <c r="C123" s="7" t="s">
        <v>170</v>
      </c>
      <c r="D123" s="16">
        <v>10</v>
      </c>
      <c r="E123" s="16" t="s">
        <v>516</v>
      </c>
      <c r="F123" s="17" t="str">
        <f ca="1">'1ER PERIODOADMINISTRACION'!D29</f>
        <v>ASCENDENTE</v>
      </c>
      <c r="G123" s="17" t="str">
        <f ca="1">'1ER PERIODOADMINISTRACION'!E29</f>
        <v>BITACORA OPERATIVA</v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ht="39.75" customHeight="1">
      <c r="A124" s="53"/>
      <c r="B124" s="53"/>
      <c r="C124" s="7" t="s">
        <v>171</v>
      </c>
      <c r="D124" s="16">
        <v>40</v>
      </c>
      <c r="E124" s="16" t="s">
        <v>516</v>
      </c>
      <c r="F124" s="17" t="str">
        <f ca="1">'1ER PERIODOADMINISTRACION'!D30</f>
        <v>DECENDENTE</v>
      </c>
      <c r="G124" s="17" t="str">
        <f ca="1">'1ER PERIODOADMINISTRACION'!E30</f>
        <v>BITACORA OPERATIVA</v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ht="39.75" customHeight="1">
      <c r="A125" s="53"/>
      <c r="B125" s="53"/>
      <c r="C125" s="7" t="s">
        <v>172</v>
      </c>
      <c r="D125" s="16">
        <v>55</v>
      </c>
      <c r="E125" s="16" t="s">
        <v>516</v>
      </c>
      <c r="F125" s="17" t="str">
        <f ca="1">'1ER PERIODOADMINISTRACION'!D31</f>
        <v>ASCENDENTE</v>
      </c>
      <c r="G125" s="17" t="str">
        <f ca="1">'1ER PERIODOADMINISTRACION'!E31</f>
        <v>BITACORA OPERATIVA</v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ht="39.75" customHeight="1">
      <c r="A126" s="53"/>
      <c r="B126" s="53"/>
      <c r="C126" s="7" t="s">
        <v>167</v>
      </c>
      <c r="D126" s="16">
        <v>40</v>
      </c>
      <c r="E126" s="16" t="s">
        <v>516</v>
      </c>
      <c r="F126" s="17" t="str">
        <f ca="1">'1ER PERIODOADMINISTRACION'!D32</f>
        <v>ASCENDENTE</v>
      </c>
      <c r="G126" s="17" t="str">
        <f ca="1">'1ER PERIODOADMINISTRACION'!E32</f>
        <v>BITACORA OPERATIVA</v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ht="39.75" customHeight="1">
      <c r="A127" s="53"/>
      <c r="B127" s="53"/>
      <c r="C127" s="7" t="s">
        <v>168</v>
      </c>
      <c r="D127" s="16">
        <v>15</v>
      </c>
      <c r="E127" s="16" t="s">
        <v>516</v>
      </c>
      <c r="F127" s="17" t="str">
        <f ca="1">'1ER PERIODOADMINISTRACION'!D33</f>
        <v>ASCENDENTE</v>
      </c>
      <c r="G127" s="17" t="str">
        <f ca="1">'1ER PERIODOADMINISTRACION'!E33</f>
        <v>BITACORA OPERATIVA</v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ht="39.75" customHeight="1">
      <c r="A128" s="53"/>
      <c r="B128" s="53"/>
      <c r="C128" s="7" t="s">
        <v>173</v>
      </c>
      <c r="D128" s="16">
        <v>20</v>
      </c>
      <c r="E128" s="16" t="s">
        <v>516</v>
      </c>
      <c r="F128" s="17" t="str">
        <f ca="1">'1ER PERIODOADMINISTRACION'!D34</f>
        <v>ASCENDENTE</v>
      </c>
      <c r="G128" s="17" t="str">
        <f ca="1">'1ER PERIODOADMINISTRACION'!E34</f>
        <v>BITACORA OPERATIVA</v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ht="39.75" customHeight="1">
      <c r="A129" s="53"/>
      <c r="B129" s="53"/>
      <c r="C129" s="7" t="s">
        <v>167</v>
      </c>
      <c r="D129" s="16">
        <v>15</v>
      </c>
      <c r="E129" s="16" t="s">
        <v>516</v>
      </c>
      <c r="F129" s="17" t="str">
        <f ca="1">'1ER PERIODOADMINISTRACION'!D35</f>
        <v>ASCENDENTE</v>
      </c>
      <c r="G129" s="17" t="str">
        <f ca="1">'1ER PERIODOADMINISTRACION'!E35</f>
        <v>BITACORA OPERATIVA</v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ht="39.75" customHeight="1">
      <c r="A130" s="53"/>
      <c r="B130" s="51"/>
      <c r="C130" s="7" t="s">
        <v>168</v>
      </c>
      <c r="D130" s="16">
        <v>5</v>
      </c>
      <c r="E130" s="16" t="s">
        <v>516</v>
      </c>
      <c r="F130" s="17" t="str">
        <f ca="1">'1ER PERIODOADMINISTRACION'!D36</f>
        <v>ASCENDENTE</v>
      </c>
      <c r="G130" s="17" t="str">
        <f ca="1">'1ER PERIODOADMINISTRACION'!E36</f>
        <v>BITACORA OPERATIVA</v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ht="39.75" customHeight="1">
      <c r="A131" s="53"/>
      <c r="B131" s="55" t="s">
        <v>174</v>
      </c>
      <c r="C131" s="7" t="s">
        <v>175</v>
      </c>
      <c r="D131" s="16">
        <v>2400</v>
      </c>
      <c r="E131" s="16" t="s">
        <v>517</v>
      </c>
      <c r="F131" s="17" t="str">
        <f ca="1">'1ER PERIODOADMINISTRACION'!D37</f>
        <v>DECENDENTE</v>
      </c>
      <c r="G131" s="17" t="str">
        <f ca="1">'1ER PERIODOADMINISTRACION'!E37</f>
        <v>BITACORA OPERATIVA</v>
      </c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</row>
    <row r="132" spans="1:21" ht="39.75" customHeight="1">
      <c r="A132" s="53"/>
      <c r="B132" s="53"/>
      <c r="C132" s="7" t="s">
        <v>176</v>
      </c>
      <c r="D132" s="16">
        <v>2300</v>
      </c>
      <c r="E132" s="16" t="s">
        <v>517</v>
      </c>
      <c r="F132" s="17" t="str">
        <f ca="1">'1ER PERIODOADMINISTRACION'!D38</f>
        <v>DECENDENTE</v>
      </c>
      <c r="G132" s="17" t="str">
        <f ca="1">'1ER PERIODOADMINISTRACION'!E38</f>
        <v>BITACORA OPERATIVA</v>
      </c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</row>
    <row r="133" spans="1:21" ht="39.75" customHeight="1">
      <c r="A133" s="53"/>
      <c r="B133" s="53"/>
      <c r="C133" s="7" t="s">
        <v>177</v>
      </c>
      <c r="D133" s="17">
        <f ca="1">'1ER PERIODOADMINISTRACION'!B39</f>
        <v>600</v>
      </c>
      <c r="E133" s="16" t="s">
        <v>518</v>
      </c>
      <c r="F133" s="16" t="s">
        <v>289</v>
      </c>
      <c r="G133" s="17" t="str">
        <f ca="1">'1ER PERIODOADMINISTRACION'!E39</f>
        <v>BITACORA OPERATIVA</v>
      </c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1" ht="39.75" customHeight="1">
      <c r="A134" s="53"/>
      <c r="B134" s="53"/>
      <c r="C134" s="7" t="s">
        <v>178</v>
      </c>
      <c r="D134" s="16">
        <v>252000</v>
      </c>
      <c r="E134" s="16" t="s">
        <v>519</v>
      </c>
      <c r="F134" s="16" t="s">
        <v>289</v>
      </c>
      <c r="G134" s="17" t="str">
        <f ca="1">'1ER PERIODOADMINISTRACION'!E40</f>
        <v>BITACORA OPERATIVA</v>
      </c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1" ht="39.75" customHeight="1">
      <c r="A135" s="53"/>
      <c r="B135" s="53"/>
      <c r="C135" s="7" t="s">
        <v>179</v>
      </c>
      <c r="D135" s="16">
        <v>3000</v>
      </c>
      <c r="E135" s="16" t="s">
        <v>519</v>
      </c>
      <c r="F135" s="17" t="str">
        <f ca="1">'1ER PERIODOADMINISTRACION'!D41</f>
        <v>ASCENDENTE</v>
      </c>
      <c r="G135" s="17" t="str">
        <f ca="1">'1ER PERIODOADMINISTRACION'!E41</f>
        <v>BITACORA OPERATIVA</v>
      </c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</row>
    <row r="136" spans="1:21" ht="39.75" customHeight="1">
      <c r="A136" s="53"/>
      <c r="B136" s="53"/>
      <c r="C136" s="7" t="s">
        <v>177</v>
      </c>
      <c r="D136" s="17">
        <f ca="1">'1ER PERIODOADMINISTRACION'!B42</f>
        <v>2400</v>
      </c>
      <c r="E136" s="16" t="s">
        <v>518</v>
      </c>
      <c r="F136" s="17" t="str">
        <f ca="1">'1ER PERIODOADMINISTRACION'!D42</f>
        <v>DECENDENTE</v>
      </c>
      <c r="G136" s="17" t="str">
        <f ca="1">'1ER PERIODOADMINISTRACION'!E42</f>
        <v>BITACORA OPERATIVA</v>
      </c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</row>
    <row r="137" spans="1:21" ht="39.75" customHeight="1">
      <c r="A137" s="53"/>
      <c r="B137" s="53"/>
      <c r="C137" s="7" t="s">
        <v>178</v>
      </c>
      <c r="D137" s="16">
        <v>252300</v>
      </c>
      <c r="E137" s="16" t="s">
        <v>520</v>
      </c>
      <c r="F137" s="16" t="s">
        <v>289</v>
      </c>
      <c r="G137" s="17" t="str">
        <f ca="1">'1ER PERIODOADMINISTRACION'!E43</f>
        <v>BITACORA OPERATIVA</v>
      </c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</row>
    <row r="138" spans="1:21" ht="39.75" customHeight="1">
      <c r="A138" s="53"/>
      <c r="B138" s="53"/>
      <c r="C138" s="7" t="s">
        <v>180</v>
      </c>
      <c r="D138" s="16">
        <v>20</v>
      </c>
      <c r="E138" s="16" t="s">
        <v>518</v>
      </c>
      <c r="F138" s="17" t="str">
        <f ca="1">'1ER PERIODOADMINISTRACION'!D44</f>
        <v>ASCENDENTE</v>
      </c>
      <c r="G138" s="17" t="str">
        <f ca="1">'1ER PERIODOADMINISTRACION'!E44</f>
        <v>BITACORA OPERATIVA</v>
      </c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</row>
    <row r="139" spans="1:21" ht="39.75" customHeight="1">
      <c r="A139" s="53"/>
      <c r="B139" s="53"/>
      <c r="C139" s="7" t="s">
        <v>177</v>
      </c>
      <c r="D139" s="17">
        <f ca="1">'1ER PERIODOADMINISTRACION'!B45</f>
        <v>1100</v>
      </c>
      <c r="E139" s="16" t="s">
        <v>518</v>
      </c>
      <c r="F139" s="17" t="str">
        <f ca="1">'1ER PERIODOADMINISTRACION'!D45</f>
        <v>ASCENDENTE</v>
      </c>
      <c r="G139" s="17" t="str">
        <f ca="1">'1ER PERIODOADMINISTRACION'!E45</f>
        <v>BITACORA OPERATIVA</v>
      </c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</row>
    <row r="140" spans="1:21" ht="39.75" customHeight="1">
      <c r="A140" s="53"/>
      <c r="B140" s="53"/>
      <c r="C140" s="7" t="s">
        <v>178</v>
      </c>
      <c r="D140" s="16">
        <v>13000</v>
      </c>
      <c r="E140" s="16" t="s">
        <v>521</v>
      </c>
      <c r="F140" s="17" t="str">
        <f ca="1">'1ER PERIODOADMINISTRACION'!D46</f>
        <v>ASCENDENTE</v>
      </c>
      <c r="G140" s="17" t="str">
        <f ca="1">'1ER PERIODOADMINISTRACION'!E46</f>
        <v>BITACORA OPERATIVA</v>
      </c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1" ht="39.75" customHeight="1">
      <c r="A141" s="53"/>
      <c r="B141" s="53"/>
      <c r="C141" s="7" t="s">
        <v>181</v>
      </c>
      <c r="D141" s="17">
        <f ca="1">'1ER PERIODOADMINISTRACION'!B47</f>
        <v>70</v>
      </c>
      <c r="E141" s="16" t="s">
        <v>518</v>
      </c>
      <c r="F141" s="17" t="str">
        <f ca="1">'1ER PERIODOADMINISTRACION'!D47</f>
        <v>ASCENDENTE</v>
      </c>
      <c r="G141" s="17" t="str">
        <f ca="1">'1ER PERIODOADMINISTRACION'!E47</f>
        <v>BITACORA OPERATIVA</v>
      </c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</row>
    <row r="142" spans="1:21" ht="39.75" customHeight="1">
      <c r="A142" s="53"/>
      <c r="B142" s="53"/>
      <c r="C142" s="7" t="s">
        <v>177</v>
      </c>
      <c r="D142" s="17">
        <f ca="1">'1ER PERIODOADMINISTRACION'!B48</f>
        <v>290</v>
      </c>
      <c r="E142" s="16" t="s">
        <v>518</v>
      </c>
      <c r="F142" s="17" t="str">
        <f ca="1">'1ER PERIODOADMINISTRACION'!D48</f>
        <v>ASCENDENTE</v>
      </c>
      <c r="G142" s="17" t="str">
        <f ca="1">'1ER PERIODOADMINISTRACION'!E48</f>
        <v>BITACORA OPERATIVA</v>
      </c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</row>
    <row r="143" spans="1:21" ht="39.75" customHeight="1">
      <c r="A143" s="53"/>
      <c r="B143" s="53"/>
      <c r="C143" s="7" t="s">
        <v>178</v>
      </c>
      <c r="D143" s="16">
        <v>50</v>
      </c>
      <c r="E143" s="16" t="s">
        <v>518</v>
      </c>
      <c r="F143" s="17" t="str">
        <f ca="1">'1ER PERIODOADMINISTRACION'!D49</f>
        <v>ASCENDENTE</v>
      </c>
      <c r="G143" s="17" t="str">
        <f ca="1">'1ER PERIODOADMINISTRACION'!E49</f>
        <v>BITACORA OPERATIVA</v>
      </c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</row>
    <row r="144" spans="1:21" ht="39.75" customHeight="1">
      <c r="A144" s="53"/>
      <c r="B144" s="53"/>
      <c r="C144" s="7" t="s">
        <v>182</v>
      </c>
      <c r="D144" s="16">
        <v>12</v>
      </c>
      <c r="E144" s="16" t="s">
        <v>522</v>
      </c>
      <c r="F144" s="17" t="str">
        <f ca="1">'1ER PERIODOADMINISTRACION'!D50</f>
        <v>ASCENDENTE</v>
      </c>
      <c r="G144" s="17" t="str">
        <f ca="1">'1ER PERIODOADMINISTRACION'!E50</f>
        <v>BITACORA OPERATIVA</v>
      </c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21" ht="39.75" customHeight="1">
      <c r="A145" s="53"/>
      <c r="B145" s="53"/>
      <c r="C145" s="7" t="s">
        <v>183</v>
      </c>
      <c r="D145" s="17">
        <f ca="1">'1ER PERIODOADMINISTRACION'!B51</f>
        <v>24000000</v>
      </c>
      <c r="E145" s="16" t="s">
        <v>523</v>
      </c>
      <c r="F145" s="17" t="str">
        <f ca="1">'1ER PERIODOADMINISTRACION'!D51</f>
        <v>ASCENDENTE</v>
      </c>
      <c r="G145" s="17" t="str">
        <f ca="1">'1ER PERIODOADMINISTRACION'!E51</f>
        <v>BITACORA OPERATIVA</v>
      </c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</row>
    <row r="146" spans="1:21" ht="39.75" customHeight="1">
      <c r="A146" s="53"/>
      <c r="B146" s="53"/>
      <c r="C146" s="7" t="s">
        <v>184</v>
      </c>
      <c r="D146" s="17">
        <f ca="1">'1ER PERIODOADMINISTRACION'!B52</f>
        <v>720</v>
      </c>
      <c r="E146" s="16" t="s">
        <v>523</v>
      </c>
      <c r="F146" s="17" t="str">
        <f ca="1">'1ER PERIODOADMINISTRACION'!D52</f>
        <v>ASCENDENTE</v>
      </c>
      <c r="G146" s="17" t="str">
        <f ca="1">'1ER PERIODOADMINISTRACION'!E52</f>
        <v>BITACORA OPERATIVA</v>
      </c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</row>
    <row r="147" spans="1:21" ht="39.75" customHeight="1">
      <c r="A147" s="53"/>
      <c r="B147" s="53"/>
      <c r="C147" s="7" t="s">
        <v>177</v>
      </c>
      <c r="D147" s="17">
        <f ca="1">'1ER PERIODOADMINISTRACION'!B53</f>
        <v>150000</v>
      </c>
      <c r="E147" s="16" t="s">
        <v>523</v>
      </c>
      <c r="F147" s="17" t="str">
        <f ca="1">'1ER PERIODOADMINISTRACION'!D53</f>
        <v>ASCENDENTE</v>
      </c>
      <c r="G147" s="17" t="str">
        <f ca="1">'1ER PERIODOADMINISTRACION'!E53</f>
        <v>BITACORA OPERATIVA</v>
      </c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</row>
    <row r="148" spans="1:21" ht="39.75" customHeight="1">
      <c r="A148" s="53"/>
      <c r="B148" s="53"/>
      <c r="C148" s="7" t="s">
        <v>185</v>
      </c>
      <c r="D148" s="17">
        <f ca="1">'1ER PERIODOADMINISTRACION'!B54</f>
        <v>267600</v>
      </c>
      <c r="E148" s="16" t="s">
        <v>523</v>
      </c>
      <c r="F148" s="17" t="str">
        <f ca="1">'1ER PERIODOADMINISTRACION'!D54</f>
        <v>ASCENDENTE</v>
      </c>
      <c r="G148" s="17" t="str">
        <f ca="1">'1ER PERIODOADMINISTRACION'!E54</f>
        <v>BITACORA OPERATIVA</v>
      </c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</row>
    <row r="149" spans="1:21" ht="39.75" customHeight="1">
      <c r="A149" s="53"/>
      <c r="B149" s="53"/>
      <c r="C149" s="7" t="s">
        <v>186</v>
      </c>
      <c r="D149" s="17">
        <f ca="1">'1ER PERIODOADMINISTRACION'!B55</f>
        <v>40</v>
      </c>
      <c r="E149" s="16" t="s">
        <v>523</v>
      </c>
      <c r="F149" s="17" t="str">
        <f ca="1">'1ER PERIODOADMINISTRACION'!D55</f>
        <v>ASCENDENTE</v>
      </c>
      <c r="G149" s="17" t="str">
        <f ca="1">'1ER PERIODOADMINISTRACION'!E55</f>
        <v>BITACORA OPERATIVA</v>
      </c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</row>
    <row r="150" spans="1:21" ht="39.75" customHeight="1">
      <c r="A150" s="53"/>
      <c r="B150" s="51"/>
      <c r="C150" s="7" t="s">
        <v>187</v>
      </c>
      <c r="D150" s="17">
        <f ca="1">'1ER PERIODOADMINISTRACION'!B56</f>
        <v>20</v>
      </c>
      <c r="E150" s="16" t="s">
        <v>523</v>
      </c>
      <c r="F150" s="17" t="str">
        <f ca="1">'1ER PERIODOADMINISTRACION'!D56</f>
        <v>ASCENDENTE</v>
      </c>
      <c r="G150" s="17" t="str">
        <f ca="1">'1ER PERIODOADMINISTRACION'!E56</f>
        <v>BITACORA OPERATIVA</v>
      </c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</row>
    <row r="151" spans="1:21" ht="39.75" customHeight="1">
      <c r="A151" s="53"/>
      <c r="B151" s="55" t="s">
        <v>188</v>
      </c>
      <c r="C151" s="7" t="s">
        <v>189</v>
      </c>
      <c r="D151" s="17">
        <f ca="1">'1ER PERIODOADMINISTRACION'!B57</f>
        <v>36</v>
      </c>
      <c r="E151" s="16" t="s">
        <v>523</v>
      </c>
      <c r="F151" s="17" t="str">
        <f ca="1">'1ER PERIODOADMINISTRACION'!D57</f>
        <v>ASCENDENTE</v>
      </c>
      <c r="G151" s="17" t="str">
        <f ca="1">'1ER PERIODOADMINISTRACION'!E57</f>
        <v>BITACORA OPERATIVA</v>
      </c>
      <c r="H151" s="10"/>
      <c r="I151" s="10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</row>
    <row r="152" spans="1:21" ht="39.75" customHeight="1">
      <c r="A152" s="53"/>
      <c r="B152" s="53"/>
      <c r="C152" s="7" t="s">
        <v>190</v>
      </c>
      <c r="D152" s="16">
        <v>603</v>
      </c>
      <c r="E152" s="16" t="s">
        <v>524</v>
      </c>
      <c r="F152" s="17" t="str">
        <f ca="1">'1ER PERIODOADMINISTRACION'!D58</f>
        <v>ASCENDENTE</v>
      </c>
      <c r="G152" s="17" t="str">
        <f ca="1">'1ER PERIODOADMINISTRACION'!E58</f>
        <v>BITACORA OPERATIVA</v>
      </c>
      <c r="H152" s="10"/>
      <c r="I152" s="10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</row>
    <row r="153" spans="1:21" ht="39.75" customHeight="1">
      <c r="A153" s="53"/>
      <c r="B153" s="53"/>
      <c r="C153" s="7" t="s">
        <v>191</v>
      </c>
      <c r="D153" s="16">
        <v>10</v>
      </c>
      <c r="E153" s="16" t="s">
        <v>364</v>
      </c>
      <c r="F153" s="17" t="str">
        <f ca="1">'1ER PERIODOADMINISTRACION'!D59</f>
        <v>ASCENDENTE</v>
      </c>
      <c r="G153" s="17" t="str">
        <f ca="1">'1ER PERIODOADMINISTRACION'!E59</f>
        <v>BITACORA OPERATIVA</v>
      </c>
      <c r="H153" s="10"/>
      <c r="I153" s="10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</row>
    <row r="154" spans="1:21" ht="39.75" customHeight="1">
      <c r="A154" s="53"/>
      <c r="B154" s="53"/>
      <c r="C154" s="7" t="s">
        <v>192</v>
      </c>
      <c r="D154" s="16">
        <v>5</v>
      </c>
      <c r="E154" s="16" t="s">
        <v>364</v>
      </c>
      <c r="F154" s="17" t="str">
        <f ca="1">'1ER PERIODOADMINISTRACION'!D60</f>
        <v>ASCENDENTE</v>
      </c>
      <c r="G154" s="17" t="str">
        <f ca="1">'1ER PERIODOADMINISTRACION'!E60</f>
        <v>BITACORA OPERATIVA</v>
      </c>
      <c r="H154" s="10"/>
      <c r="I154" s="10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</row>
    <row r="155" spans="1:21" ht="39.75" customHeight="1">
      <c r="A155" s="53"/>
      <c r="B155" s="53"/>
      <c r="C155" s="7" t="s">
        <v>193</v>
      </c>
      <c r="D155" s="16">
        <v>200</v>
      </c>
      <c r="E155" s="16" t="s">
        <v>193</v>
      </c>
      <c r="F155" s="17" t="str">
        <f ca="1">'1ER PERIODOADMINISTRACION'!D61</f>
        <v>ASCENDENTE</v>
      </c>
      <c r="G155" s="17" t="str">
        <f ca="1">'1ER PERIODOADMINISTRACION'!E61</f>
        <v>BITACORA OPERATIVA</v>
      </c>
      <c r="H155" s="10"/>
      <c r="I155" s="10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</row>
    <row r="156" spans="1:21" ht="39.75" customHeight="1">
      <c r="A156" s="53"/>
      <c r="B156" s="53"/>
      <c r="C156" s="7" t="s">
        <v>194</v>
      </c>
      <c r="D156" s="16">
        <v>6000</v>
      </c>
      <c r="E156" s="16" t="s">
        <v>245</v>
      </c>
      <c r="F156" s="17" t="str">
        <f ca="1">'1ER PERIODOADMINISTRACION'!D62</f>
        <v>ASCENDENTE</v>
      </c>
      <c r="G156" s="17" t="str">
        <f ca="1">'1ER PERIODOADMINISTRACION'!E62</f>
        <v>BITACORA OPERATIVA</v>
      </c>
      <c r="H156" s="10"/>
      <c r="I156" s="10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</row>
    <row r="157" spans="1:21" ht="39.75" customHeight="1">
      <c r="A157" s="53"/>
      <c r="B157" s="53"/>
      <c r="C157" s="7" t="s">
        <v>195</v>
      </c>
      <c r="D157" s="16">
        <v>100</v>
      </c>
      <c r="E157" s="16" t="s">
        <v>525</v>
      </c>
      <c r="F157" s="17" t="str">
        <f ca="1">'1ER PERIODOADMINISTRACION'!D63</f>
        <v>ASCENDENTE</v>
      </c>
      <c r="G157" s="17" t="str">
        <f ca="1">'1ER PERIODOADMINISTRACION'!E63</f>
        <v>BITACORA OPERATIVA</v>
      </c>
      <c r="H157" s="10"/>
      <c r="I157" s="10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</row>
    <row r="158" spans="1:21" ht="39.75" customHeight="1">
      <c r="A158" s="53"/>
      <c r="B158" s="53"/>
      <c r="C158" s="7" t="s">
        <v>196</v>
      </c>
      <c r="D158" s="17">
        <f ca="1">'1ER PERIODOADMINISTRACION'!B64</f>
        <v>14300</v>
      </c>
      <c r="E158" s="16" t="s">
        <v>523</v>
      </c>
      <c r="F158" s="17" t="str">
        <f ca="1">'1ER PERIODOADMINISTRACION'!D64</f>
        <v>ASCENDENTE</v>
      </c>
      <c r="G158" s="17" t="str">
        <f ca="1">'1ER PERIODOADMINISTRACION'!E64</f>
        <v>BITACORA OPERATIVA</v>
      </c>
      <c r="H158" s="10"/>
      <c r="I158" s="10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</row>
    <row r="159" spans="1:21" ht="39.75" customHeight="1">
      <c r="A159" s="53"/>
      <c r="B159" s="53"/>
      <c r="C159" s="7" t="s">
        <v>197</v>
      </c>
      <c r="D159" s="16">
        <v>6000</v>
      </c>
      <c r="E159" s="16" t="s">
        <v>526</v>
      </c>
      <c r="F159" s="17" t="str">
        <f ca="1">'1ER PERIODOADMINISTRACION'!D65</f>
        <v>ASCENDENTE</v>
      </c>
      <c r="G159" s="17" t="str">
        <f ca="1">'1ER PERIODOADMINISTRACION'!E65</f>
        <v>BITACORA OPERATIVA</v>
      </c>
      <c r="H159" s="10"/>
      <c r="I159" s="10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</row>
    <row r="160" spans="1:21" ht="39.75" customHeight="1">
      <c r="A160" s="53"/>
      <c r="B160" s="53"/>
      <c r="C160" s="7" t="s">
        <v>198</v>
      </c>
      <c r="D160" s="16">
        <v>300</v>
      </c>
      <c r="E160" s="16" t="s">
        <v>527</v>
      </c>
      <c r="F160" s="17" t="str">
        <f ca="1">'1ER PERIODOADMINISTRACION'!D66</f>
        <v>ASCENDENTE</v>
      </c>
      <c r="G160" s="17" t="str">
        <f ca="1">'1ER PERIODOADMINISTRACION'!E66</f>
        <v>BITACORA OPERATIVA</v>
      </c>
      <c r="H160" s="10"/>
      <c r="I160" s="10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</row>
    <row r="161" spans="1:21" ht="39.75" customHeight="1">
      <c r="A161" s="53"/>
      <c r="B161" s="53"/>
      <c r="C161" s="7" t="s">
        <v>199</v>
      </c>
      <c r="D161" s="17">
        <f ca="1">'1ER PERIODOADMINISTRACION'!B67</f>
        <v>519</v>
      </c>
      <c r="E161" s="16" t="s">
        <v>523</v>
      </c>
      <c r="F161" s="17" t="str">
        <f ca="1">'1ER PERIODOADMINISTRACION'!D67</f>
        <v>ASCENDENTE</v>
      </c>
      <c r="G161" s="17" t="str">
        <f ca="1">'1ER PERIODOADMINISTRACION'!E67</f>
        <v>BITACORA OPERATIVA</v>
      </c>
      <c r="H161" s="10"/>
      <c r="I161" s="10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</row>
    <row r="162" spans="1:21" ht="39.75" customHeight="1">
      <c r="A162" s="53"/>
      <c r="B162" s="53"/>
      <c r="C162" s="7" t="s">
        <v>200</v>
      </c>
      <c r="D162" s="16">
        <v>1500</v>
      </c>
      <c r="E162" s="16" t="s">
        <v>527</v>
      </c>
      <c r="F162" s="17" t="str">
        <f ca="1">'1ER PERIODOADMINISTRACION'!D68</f>
        <v>ASCENDENTE</v>
      </c>
      <c r="G162" s="17" t="str">
        <f ca="1">'1ER PERIODOADMINISTRACION'!E68</f>
        <v>BITACORA OPERATIVA</v>
      </c>
      <c r="H162" s="10"/>
      <c r="I162" s="10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</row>
    <row r="163" spans="1:21" ht="39.75" customHeight="1">
      <c r="A163" s="53"/>
      <c r="B163" s="53"/>
      <c r="C163" s="7" t="s">
        <v>201</v>
      </c>
      <c r="D163" s="16">
        <v>400</v>
      </c>
      <c r="E163" s="16" t="s">
        <v>527</v>
      </c>
      <c r="F163" s="17" t="str">
        <f ca="1">'1ER PERIODOADMINISTRACION'!D69</f>
        <v>ASCENDENTE</v>
      </c>
      <c r="G163" s="17" t="str">
        <f ca="1">'1ER PERIODOADMINISTRACION'!E69</f>
        <v>BITACORA OPERATIVA</v>
      </c>
      <c r="H163" s="10"/>
      <c r="I163" s="10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</row>
    <row r="164" spans="1:21" ht="39.75" customHeight="1">
      <c r="A164" s="53"/>
      <c r="B164" s="53"/>
      <c r="C164" s="7" t="s">
        <v>202</v>
      </c>
      <c r="D164" s="16">
        <v>100</v>
      </c>
      <c r="E164" s="16" t="s">
        <v>527</v>
      </c>
      <c r="F164" s="17" t="str">
        <f ca="1">'1ER PERIODOADMINISTRACION'!D70</f>
        <v>ASCENDENTE</v>
      </c>
      <c r="G164" s="17" t="str">
        <f ca="1">'1ER PERIODOADMINISTRACION'!E70</f>
        <v>BITACORA OPERATIVA</v>
      </c>
      <c r="H164" s="10"/>
      <c r="I164" s="10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</row>
    <row r="165" spans="1:21" ht="39.75" customHeight="1">
      <c r="A165" s="53"/>
      <c r="B165" s="53"/>
      <c r="C165" s="7" t="s">
        <v>203</v>
      </c>
      <c r="D165" s="16">
        <v>10000</v>
      </c>
      <c r="E165" s="16" t="s">
        <v>527</v>
      </c>
      <c r="F165" s="17" t="str">
        <f ca="1">'1ER PERIODOADMINISTRACION'!D71</f>
        <v>ASCENDENTE</v>
      </c>
      <c r="G165" s="17" t="str">
        <f ca="1">'1ER PERIODOADMINISTRACION'!E71</f>
        <v>BITACORA OPERATIVA</v>
      </c>
      <c r="H165" s="10"/>
      <c r="I165" s="10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</row>
    <row r="166" spans="1:21" ht="39.75" customHeight="1">
      <c r="A166" s="53"/>
      <c r="B166" s="53"/>
      <c r="C166" s="7" t="s">
        <v>204</v>
      </c>
      <c r="D166" s="16">
        <v>1000</v>
      </c>
      <c r="E166" s="16" t="s">
        <v>527</v>
      </c>
      <c r="F166" s="17" t="str">
        <f ca="1">'1ER PERIODOADMINISTRACION'!D72</f>
        <v>ASCENDENTE</v>
      </c>
      <c r="G166" s="17" t="str">
        <f ca="1">'1ER PERIODOADMINISTRACION'!E72</f>
        <v>BITACORA OPERATIVA</v>
      </c>
      <c r="H166" s="10"/>
      <c r="I166" s="10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</row>
    <row r="167" spans="1:21" ht="39.75" customHeight="1">
      <c r="A167" s="53"/>
      <c r="B167" s="53"/>
      <c r="C167" s="7" t="s">
        <v>205</v>
      </c>
      <c r="D167" s="17">
        <f ca="1">'1ER PERIODOADMINISTRACION'!B73</f>
        <v>900</v>
      </c>
      <c r="E167" s="16" t="s">
        <v>523</v>
      </c>
      <c r="F167" s="17" t="str">
        <f ca="1">'1ER PERIODOADMINISTRACION'!D73</f>
        <v>DECENDENTE</v>
      </c>
      <c r="G167" s="17" t="str">
        <f ca="1">'1ER PERIODOADMINISTRACION'!E73</f>
        <v>BITACORA OPERATIVA</v>
      </c>
      <c r="H167" s="10"/>
      <c r="I167" s="10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</row>
    <row r="168" spans="1:21" ht="39.75" customHeight="1">
      <c r="A168" s="53"/>
      <c r="B168" s="53"/>
      <c r="C168" s="7" t="s">
        <v>206</v>
      </c>
      <c r="D168" s="17">
        <f ca="1">'1ER PERIODOADMINISTRACION'!B74</f>
        <v>5976</v>
      </c>
      <c r="E168" s="16" t="s">
        <v>523</v>
      </c>
      <c r="F168" s="17" t="str">
        <f ca="1">'1ER PERIODOADMINISTRACION'!D74</f>
        <v>DECENDENTE</v>
      </c>
      <c r="G168" s="17" t="str">
        <f ca="1">'1ER PERIODOADMINISTRACION'!E74</f>
        <v>BITACORA OPERATIVA</v>
      </c>
      <c r="H168" s="10"/>
      <c r="I168" s="10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</row>
    <row r="169" spans="1:21" ht="39.75" customHeight="1">
      <c r="A169" s="53"/>
      <c r="B169" s="53"/>
      <c r="C169" s="7" t="s">
        <v>207</v>
      </c>
      <c r="D169" s="17">
        <f ca="1">'1ER PERIODOADMINISTRACION'!B75</f>
        <v>13800</v>
      </c>
      <c r="E169" s="16" t="s">
        <v>523</v>
      </c>
      <c r="F169" s="17" t="str">
        <f ca="1">'1ER PERIODOADMINISTRACION'!D75</f>
        <v>ASCENDENTE</v>
      </c>
      <c r="G169" s="17" t="str">
        <f ca="1">'1ER PERIODOADMINISTRACION'!E75</f>
        <v>BITACORA OPERATIVA</v>
      </c>
      <c r="H169" s="10"/>
      <c r="I169" s="10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</row>
    <row r="170" spans="1:21" ht="39.75" customHeight="1">
      <c r="A170" s="53"/>
      <c r="B170" s="53"/>
      <c r="C170" s="7" t="s">
        <v>208</v>
      </c>
      <c r="D170" s="17">
        <f ca="1">'1ER PERIODOADMINISTRACION'!B76</f>
        <v>9408</v>
      </c>
      <c r="E170" s="16" t="s">
        <v>523</v>
      </c>
      <c r="F170" s="17" t="str">
        <f ca="1">'1ER PERIODOADMINISTRACION'!D76</f>
        <v>ASCENDENTE</v>
      </c>
      <c r="G170" s="17" t="str">
        <f ca="1">'1ER PERIODOADMINISTRACION'!E76</f>
        <v>BITACORA OPERATIVA</v>
      </c>
      <c r="H170" s="10"/>
      <c r="I170" s="10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</row>
    <row r="171" spans="1:21" ht="39.75" customHeight="1">
      <c r="A171" s="53"/>
      <c r="B171" s="53"/>
      <c r="C171" s="7" t="s">
        <v>209</v>
      </c>
      <c r="D171" s="17">
        <f ca="1">'1ER PERIODOADMINISTRACION'!B77</f>
        <v>3300</v>
      </c>
      <c r="E171" s="16" t="s">
        <v>523</v>
      </c>
      <c r="F171" s="17" t="str">
        <f ca="1">'1ER PERIODOADMINISTRACION'!D77</f>
        <v>ASCENDENTE</v>
      </c>
      <c r="G171" s="17" t="str">
        <f ca="1">'1ER PERIODOADMINISTRACION'!E77</f>
        <v>BITACORA OPERATIVA</v>
      </c>
      <c r="H171" s="10"/>
      <c r="I171" s="10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</row>
    <row r="172" spans="1:21" ht="39.75" customHeight="1">
      <c r="A172" s="53"/>
      <c r="B172" s="53"/>
      <c r="C172" s="7" t="s">
        <v>210</v>
      </c>
      <c r="D172" s="17">
        <f ca="1">'1ER PERIODOADMINISTRACION'!B78</f>
        <v>4</v>
      </c>
      <c r="E172" s="16" t="s">
        <v>523</v>
      </c>
      <c r="F172" s="17" t="str">
        <f ca="1">'1ER PERIODOADMINISTRACION'!D78</f>
        <v>DECENDENTE</v>
      </c>
      <c r="G172" s="17" t="str">
        <f ca="1">'1ER PERIODOADMINISTRACION'!E78</f>
        <v>BITACORA OPERATIVA</v>
      </c>
      <c r="H172" s="10"/>
      <c r="I172" s="10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</row>
    <row r="173" spans="1:21" ht="39.75" customHeight="1">
      <c r="A173" s="53"/>
      <c r="B173" s="53"/>
      <c r="C173" s="7" t="s">
        <v>211</v>
      </c>
      <c r="D173" s="17">
        <f ca="1">'1ER PERIODOADMINISTRACION'!B79</f>
        <v>504</v>
      </c>
      <c r="E173" s="16" t="s">
        <v>523</v>
      </c>
      <c r="F173" s="17" t="str">
        <f ca="1">'1ER PERIODOADMINISTRACION'!D79</f>
        <v>ASCENDENTE</v>
      </c>
      <c r="G173" s="17" t="str">
        <f ca="1">'1ER PERIODOADMINISTRACION'!E79</f>
        <v>BITACORA OPERATIVA</v>
      </c>
      <c r="H173" s="10"/>
      <c r="I173" s="10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</row>
    <row r="174" spans="1:21" ht="39.75" customHeight="1">
      <c r="A174" s="53"/>
      <c r="B174" s="53"/>
      <c r="C174" s="7" t="s">
        <v>212</v>
      </c>
      <c r="D174" s="17">
        <f ca="1">'1ER PERIODOADMINISTRACION'!B80</f>
        <v>1020</v>
      </c>
      <c r="E174" s="16" t="s">
        <v>523</v>
      </c>
      <c r="F174" s="17" t="str">
        <f ca="1">'1ER PERIODOADMINISTRACION'!D80</f>
        <v>ASCENDENTE</v>
      </c>
      <c r="G174" s="17" t="str">
        <f ca="1">'1ER PERIODOADMINISTRACION'!E80</f>
        <v>BITACORA OPERATIVA</v>
      </c>
      <c r="H174" s="10"/>
      <c r="I174" s="10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</row>
    <row r="175" spans="1:21" ht="39.75" customHeight="1">
      <c r="A175" s="53"/>
      <c r="B175" s="53"/>
      <c r="C175" s="7" t="s">
        <v>213</v>
      </c>
      <c r="D175" s="16">
        <v>5</v>
      </c>
      <c r="E175" s="16" t="s">
        <v>528</v>
      </c>
      <c r="F175" s="17" t="str">
        <f ca="1">'1ER PERIODOADMINISTRACION'!D81</f>
        <v>ASCENDENTE</v>
      </c>
      <c r="G175" s="17" t="str">
        <f ca="1">'1ER PERIODOADMINISTRACION'!E81</f>
        <v>BITACORA OPERATIVA</v>
      </c>
      <c r="H175" s="10"/>
      <c r="I175" s="10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</row>
    <row r="176" spans="1:21" ht="39.75" customHeight="1">
      <c r="A176" s="53"/>
      <c r="B176" s="53"/>
      <c r="C176" s="7" t="s">
        <v>214</v>
      </c>
      <c r="D176" s="16">
        <v>150</v>
      </c>
      <c r="E176" s="16" t="s">
        <v>231</v>
      </c>
      <c r="F176" s="17" t="str">
        <f ca="1">'1ER PERIODOADMINISTRACION'!D82</f>
        <v>ASCENDENTE</v>
      </c>
      <c r="G176" s="17" t="str">
        <f ca="1">'1ER PERIODOADMINISTRACION'!E82</f>
        <v>BITACORA OPERATIVA</v>
      </c>
      <c r="H176" s="10"/>
      <c r="I176" s="10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</row>
    <row r="177" spans="1:21" ht="39.75" customHeight="1">
      <c r="A177" s="53"/>
      <c r="B177" s="53"/>
      <c r="C177" s="7" t="s">
        <v>215</v>
      </c>
      <c r="D177" s="16">
        <v>100</v>
      </c>
      <c r="E177" s="16" t="s">
        <v>529</v>
      </c>
      <c r="F177" s="17" t="str">
        <f ca="1">'1ER PERIODOADMINISTRACION'!D83</f>
        <v>DECENDENTE</v>
      </c>
      <c r="G177" s="17" t="str">
        <f ca="1">'1ER PERIODOADMINISTRACION'!E83</f>
        <v>BITACORA OPERATIVA</v>
      </c>
      <c r="H177" s="10"/>
      <c r="I177" s="10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</row>
    <row r="178" spans="1:21" ht="39.75" customHeight="1">
      <c r="A178" s="53"/>
      <c r="B178" s="53"/>
      <c r="C178" s="7" t="s">
        <v>216</v>
      </c>
      <c r="D178" s="16">
        <v>600</v>
      </c>
      <c r="E178" s="16" t="s">
        <v>530</v>
      </c>
      <c r="F178" s="17" t="str">
        <f ca="1">'1ER PERIODOADMINISTRACION'!D84</f>
        <v>DECENDENTE</v>
      </c>
      <c r="G178" s="17" t="str">
        <f ca="1">'1ER PERIODOADMINISTRACION'!E84</f>
        <v>BITACORA OPERATIVA</v>
      </c>
      <c r="H178" s="10"/>
      <c r="I178" s="10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</row>
    <row r="179" spans="1:21" ht="39.75" customHeight="1">
      <c r="A179" s="53"/>
      <c r="B179" s="53"/>
      <c r="C179" s="7" t="s">
        <v>217</v>
      </c>
      <c r="D179" s="16">
        <v>15</v>
      </c>
      <c r="E179" s="16" t="s">
        <v>217</v>
      </c>
      <c r="F179" s="17" t="str">
        <f ca="1">'1ER PERIODOADMINISTRACION'!D85</f>
        <v>DECENDENTE</v>
      </c>
      <c r="G179" s="17" t="str">
        <f ca="1">'1ER PERIODOADMINISTRACION'!E85</f>
        <v>BITACORA OPERATIVA</v>
      </c>
      <c r="H179" s="10"/>
      <c r="I179" s="10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</row>
    <row r="180" spans="1:21" ht="39.75" customHeight="1">
      <c r="A180" s="53"/>
      <c r="B180" s="53"/>
      <c r="C180" s="7" t="s">
        <v>218</v>
      </c>
      <c r="D180" s="16">
        <v>250</v>
      </c>
      <c r="E180" s="16" t="s">
        <v>218</v>
      </c>
      <c r="F180" s="17" t="str">
        <f ca="1">'1ER PERIODOADMINISTRACION'!D86</f>
        <v>ASCENDENTE</v>
      </c>
      <c r="G180" s="17" t="str">
        <f ca="1">'1ER PERIODOADMINISTRACION'!E86</f>
        <v>BITACORA OPERATIVA</v>
      </c>
      <c r="H180" s="10"/>
      <c r="I180" s="10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</row>
    <row r="181" spans="1:21" ht="39.75" customHeight="1">
      <c r="A181" s="53"/>
      <c r="B181" s="53"/>
      <c r="C181" s="7" t="s">
        <v>219</v>
      </c>
      <c r="D181" s="16">
        <v>100</v>
      </c>
      <c r="E181" s="16" t="s">
        <v>219</v>
      </c>
      <c r="F181" s="17" t="str">
        <f ca="1">'1ER PERIODOADMINISTRACION'!D87</f>
        <v>ASCENDENTE</v>
      </c>
      <c r="G181" s="17" t="str">
        <f ca="1">'1ER PERIODOADMINISTRACION'!E87</f>
        <v>BITACORA OPERATIVA</v>
      </c>
      <c r="H181" s="10"/>
      <c r="I181" s="10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</row>
    <row r="182" spans="1:21" ht="39.75" customHeight="1">
      <c r="A182" s="53"/>
      <c r="B182" s="53"/>
      <c r="C182" s="7" t="s">
        <v>220</v>
      </c>
      <c r="D182" s="16">
        <v>400</v>
      </c>
      <c r="E182" s="16" t="s">
        <v>245</v>
      </c>
      <c r="F182" s="17" t="str">
        <f ca="1">'1ER PERIODOADMINISTRACION'!D88</f>
        <v>ASCENDENTE</v>
      </c>
      <c r="G182" s="17" t="str">
        <f ca="1">'1ER PERIODOADMINISTRACION'!E88</f>
        <v>BITACORA OPERATIVA</v>
      </c>
      <c r="H182" s="10"/>
      <c r="I182" s="10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</row>
    <row r="183" spans="1:21" ht="39.75" customHeight="1">
      <c r="A183" s="53"/>
      <c r="B183" s="53"/>
      <c r="C183" s="7" t="s">
        <v>221</v>
      </c>
      <c r="D183" s="16">
        <v>100</v>
      </c>
      <c r="E183" s="16" t="s">
        <v>219</v>
      </c>
      <c r="F183" s="17" t="str">
        <f ca="1">'1ER PERIODOADMINISTRACION'!D89</f>
        <v>ASCENDENTE</v>
      </c>
      <c r="G183" s="17" t="str">
        <f ca="1">'1ER PERIODOADMINISTRACION'!E89</f>
        <v>BITACORA OPERATIVA</v>
      </c>
      <c r="H183" s="10"/>
      <c r="I183" s="10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</row>
    <row r="184" spans="1:21" ht="39.75" customHeight="1">
      <c r="A184" s="53"/>
      <c r="B184" s="53"/>
      <c r="C184" s="7" t="s">
        <v>222</v>
      </c>
      <c r="D184" s="16">
        <v>1100</v>
      </c>
      <c r="E184" s="16" t="s">
        <v>531</v>
      </c>
      <c r="F184" s="17" t="str">
        <f ca="1">'1ER PERIODOADMINISTRACION'!D90</f>
        <v>ASCENDENTE</v>
      </c>
      <c r="G184" s="17" t="str">
        <f ca="1">'1ER PERIODOADMINISTRACION'!E90</f>
        <v>BITACORA OPERATIVA</v>
      </c>
      <c r="H184" s="10"/>
      <c r="I184" s="10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</row>
    <row r="185" spans="1:21" ht="39.75" customHeight="1">
      <c r="A185" s="53"/>
      <c r="B185" s="53"/>
      <c r="C185" s="7" t="s">
        <v>223</v>
      </c>
      <c r="D185" s="16">
        <v>400</v>
      </c>
      <c r="E185" s="16" t="s">
        <v>532</v>
      </c>
      <c r="F185" s="17" t="str">
        <f ca="1">'1ER PERIODOADMINISTRACION'!D91</f>
        <v>ASCENDENTE</v>
      </c>
      <c r="G185" s="17" t="str">
        <f ca="1">'1ER PERIODOADMINISTRACION'!E91</f>
        <v>BITACORA OPERATIVA</v>
      </c>
      <c r="H185" s="10"/>
      <c r="I185" s="10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</row>
    <row r="186" spans="1:21" ht="39.75" customHeight="1">
      <c r="A186" s="53"/>
      <c r="B186" s="53"/>
      <c r="C186" s="7" t="s">
        <v>224</v>
      </c>
      <c r="D186" s="16">
        <v>50</v>
      </c>
      <c r="E186" s="16" t="s">
        <v>533</v>
      </c>
      <c r="F186" s="17" t="str">
        <f ca="1">'1ER PERIODOADMINISTRACION'!D92</f>
        <v>ASCENDENTE</v>
      </c>
      <c r="G186" s="17" t="str">
        <f ca="1">'1ER PERIODOADMINISTRACION'!E92</f>
        <v>BITACORA OPERATIVA</v>
      </c>
      <c r="H186" s="10"/>
      <c r="I186" s="10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</row>
    <row r="187" spans="1:21" ht="39.75" customHeight="1">
      <c r="A187" s="53"/>
      <c r="B187" s="53"/>
      <c r="C187" s="7" t="s">
        <v>225</v>
      </c>
      <c r="D187" s="16">
        <v>200</v>
      </c>
      <c r="E187" s="16" t="s">
        <v>534</v>
      </c>
      <c r="F187" s="17" t="str">
        <f ca="1">'1ER PERIODOADMINISTRACION'!D93</f>
        <v>ASCENDENTE</v>
      </c>
      <c r="G187" s="17" t="str">
        <f ca="1">'1ER PERIODOADMINISTRACION'!E93</f>
        <v>BITACORA OPERATIVA</v>
      </c>
      <c r="H187" s="10"/>
      <c r="I187" s="10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</row>
    <row r="188" spans="1:21" ht="39.75" customHeight="1">
      <c r="A188" s="51"/>
      <c r="B188" s="51"/>
      <c r="C188" s="7" t="s">
        <v>226</v>
      </c>
      <c r="D188" s="16">
        <v>50</v>
      </c>
      <c r="E188" s="16" t="s">
        <v>245</v>
      </c>
      <c r="F188" s="17" t="str">
        <f ca="1">'1ER PERIODOADMINISTRACION'!D94</f>
        <v>ASCENDENTE</v>
      </c>
      <c r="G188" s="17" t="str">
        <f ca="1">'1ER PERIODOADMINISTRACION'!E94</f>
        <v>BITACORA OPERATIVA</v>
      </c>
      <c r="H188" s="10"/>
      <c r="I188" s="10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</row>
    <row r="189" spans="1:21" ht="39.75" customHeight="1">
      <c r="A189" s="52" t="s">
        <v>227</v>
      </c>
      <c r="B189" s="52" t="s">
        <v>227</v>
      </c>
      <c r="C189" s="12" t="s">
        <v>228</v>
      </c>
      <c r="D189" s="16">
        <v>15</v>
      </c>
      <c r="E189" s="16" t="s">
        <v>229</v>
      </c>
      <c r="F189" s="17" t="str">
        <f ca="1">'1ER PERIODO DESARROLLO ECONOMIC'!D2</f>
        <v>ASCENDENTE</v>
      </c>
      <c r="G189" s="17" t="str">
        <f ca="1">'1ER PERIODO DESARROLLO ECONOMIC'!E2</f>
        <v>BITACORA OPERATIVA</v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</row>
    <row r="190" spans="1:21" ht="39.75" customHeight="1">
      <c r="A190" s="53"/>
      <c r="B190" s="53"/>
      <c r="C190" s="12" t="s">
        <v>230</v>
      </c>
      <c r="D190" s="16">
        <v>4200</v>
      </c>
      <c r="E190" s="16" t="s">
        <v>231</v>
      </c>
      <c r="F190" s="17" t="str">
        <f ca="1">'1ER PERIODO DESARROLLO ECONOMIC'!D3</f>
        <v>ASCENDENTE</v>
      </c>
      <c r="G190" s="17" t="str">
        <f ca="1">'1ER PERIODO DESARROLLO ECONOMIC'!E3</f>
        <v>BITACORA OPERATIVA</v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</row>
    <row r="191" spans="1:21" ht="39.75" customHeight="1">
      <c r="A191" s="53"/>
      <c r="B191" s="53"/>
      <c r="C191" s="12" t="s">
        <v>232</v>
      </c>
      <c r="D191" s="16">
        <v>100</v>
      </c>
      <c r="E191" s="16" t="s">
        <v>233</v>
      </c>
      <c r="F191" s="17" t="str">
        <f ca="1">'1ER PERIODO DESARROLLO ECONOMIC'!D4</f>
        <v>ASCENDENTE</v>
      </c>
      <c r="G191" s="17" t="str">
        <f ca="1">'1ER PERIODO DESARROLLO ECONOMIC'!E4</f>
        <v>BITACORA OPERATIVA</v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</row>
    <row r="192" spans="1:21" ht="39.75" customHeight="1">
      <c r="A192" s="53"/>
      <c r="B192" s="53"/>
      <c r="C192" s="12" t="s">
        <v>234</v>
      </c>
      <c r="D192" s="16">
        <v>50</v>
      </c>
      <c r="E192" s="16" t="s">
        <v>235</v>
      </c>
      <c r="F192" s="17" t="str">
        <f ca="1">'1ER PERIODO DESARROLLO ECONOMIC'!D5</f>
        <v>ASCENDENTE</v>
      </c>
      <c r="G192" s="17" t="str">
        <f ca="1">'1ER PERIODO DESARROLLO ECONOMIC'!E5</f>
        <v>BITACORA OPERATIVA</v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</row>
    <row r="193" spans="1:21" ht="39.75" customHeight="1">
      <c r="A193" s="53"/>
      <c r="B193" s="53"/>
      <c r="C193" s="12" t="s">
        <v>236</v>
      </c>
      <c r="D193" s="16">
        <v>1200</v>
      </c>
      <c r="E193" s="16" t="s">
        <v>231</v>
      </c>
      <c r="F193" s="17" t="str">
        <f ca="1">'1ER PERIODO DESARROLLO ECONOMIC'!D6</f>
        <v>ASCENDENTE</v>
      </c>
      <c r="G193" s="17" t="str">
        <f ca="1">'1ER PERIODO DESARROLLO ECONOMIC'!E6</f>
        <v>BITACORA OPERATIVA</v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</row>
    <row r="194" spans="1:21" ht="39.75" customHeight="1">
      <c r="A194" s="53"/>
      <c r="B194" s="53"/>
      <c r="C194" s="12" t="s">
        <v>237</v>
      </c>
      <c r="D194" s="16">
        <v>25</v>
      </c>
      <c r="E194" s="16" t="s">
        <v>238</v>
      </c>
      <c r="F194" s="17" t="str">
        <f ca="1">'1ER PERIODO DESARROLLO ECONOMIC'!D7</f>
        <v>ASCENDENTE</v>
      </c>
      <c r="G194" s="17" t="str">
        <f ca="1">'1ER PERIODO DESARROLLO ECONOMIC'!E7</f>
        <v>BITACORA OPERATIVA</v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</row>
    <row r="195" spans="1:21" ht="39.75" customHeight="1">
      <c r="A195" s="53"/>
      <c r="B195" s="53"/>
      <c r="C195" s="12" t="s">
        <v>239</v>
      </c>
      <c r="D195" s="16">
        <v>5</v>
      </c>
      <c r="E195" s="16" t="s">
        <v>240</v>
      </c>
      <c r="F195" s="17" t="str">
        <f ca="1">'1ER PERIODO DESARROLLO ECONOMIC'!D8</f>
        <v>ASCENDENTE</v>
      </c>
      <c r="G195" s="17" t="str">
        <f ca="1">'1ER PERIODO DESARROLLO ECONOMIC'!E8</f>
        <v>BITACORA OPERATIVA</v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</row>
    <row r="196" spans="1:21" ht="39.75" customHeight="1">
      <c r="A196" s="53"/>
      <c r="B196" s="51"/>
      <c r="C196" s="12" t="s">
        <v>241</v>
      </c>
      <c r="D196" s="16">
        <v>40</v>
      </c>
      <c r="E196" s="16" t="s">
        <v>242</v>
      </c>
      <c r="F196" s="17" t="str">
        <f ca="1">'1ER PERIODO DESARROLLO ECONOMIC'!D9</f>
        <v>ASCENDENTE</v>
      </c>
      <c r="G196" s="17" t="str">
        <f ca="1">'1ER PERIODO DESARROLLO ECONOMIC'!E9</f>
        <v>BITACORA OPERATIVA</v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</row>
    <row r="197" spans="1:21" ht="39.75" customHeight="1">
      <c r="A197" s="53"/>
      <c r="B197" s="13" t="s">
        <v>243</v>
      </c>
      <c r="C197" s="12" t="s">
        <v>244</v>
      </c>
      <c r="D197" s="16">
        <v>1000</v>
      </c>
      <c r="E197" s="16" t="s">
        <v>245</v>
      </c>
      <c r="F197" s="17" t="str">
        <f ca="1">'1ER PERIODO DESARROLLO ECONOMIC'!D10</f>
        <v>ASCENDENTE</v>
      </c>
      <c r="G197" s="17" t="str">
        <f ca="1">'1ER PERIODO DESARROLLO ECONOMIC'!E10</f>
        <v>BITACORA OPERATIVA</v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</row>
    <row r="198" spans="1:21" ht="39.75" customHeight="1">
      <c r="A198" s="53"/>
      <c r="B198" s="52" t="s">
        <v>246</v>
      </c>
      <c r="C198" s="12" t="s">
        <v>247</v>
      </c>
      <c r="D198" s="16">
        <v>5</v>
      </c>
      <c r="E198" s="16" t="s">
        <v>242</v>
      </c>
      <c r="F198" s="17" t="str">
        <f ca="1">'1ER PERIODO DESARROLLO ECONOMIC'!D11</f>
        <v>ASCENDENTE</v>
      </c>
      <c r="G198" s="17" t="str">
        <f ca="1">'1ER PERIODO DESARROLLO ECONOMIC'!E11</f>
        <v>BITACORA OPERATIVA</v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</row>
    <row r="199" spans="1:21" ht="39.75" customHeight="1">
      <c r="A199" s="53"/>
      <c r="B199" s="53"/>
      <c r="C199" s="12" t="s">
        <v>38</v>
      </c>
      <c r="D199" s="16">
        <v>20</v>
      </c>
      <c r="E199" s="16">
        <v>2000</v>
      </c>
      <c r="F199" s="17" t="str">
        <f ca="1">'1ER PERIODO DESARROLLO ECONOMIC'!D12</f>
        <v>ASCENDENTE</v>
      </c>
      <c r="G199" s="17" t="str">
        <f ca="1">'1ER PERIODO DESARROLLO ECONOMIC'!E12</f>
        <v>BITACORA OPERATIVA</v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</row>
    <row r="200" spans="1:21" ht="39.75" customHeight="1">
      <c r="A200" s="53"/>
      <c r="B200" s="53"/>
      <c r="C200" s="12" t="s">
        <v>248</v>
      </c>
      <c r="D200" s="16">
        <v>15</v>
      </c>
      <c r="E200" s="16" t="s">
        <v>242</v>
      </c>
      <c r="F200" s="17" t="str">
        <f ca="1">'1ER PERIODO DESARROLLO ECONOMIC'!D13</f>
        <v>ASCENDENTE</v>
      </c>
      <c r="G200" s="17" t="str">
        <f ca="1">'1ER PERIODO DESARROLLO ECONOMIC'!E13</f>
        <v>BITACORA OPERATIVA</v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</row>
    <row r="201" spans="1:21" ht="39.75" customHeight="1">
      <c r="A201" s="53"/>
      <c r="B201" s="53"/>
      <c r="C201" s="12" t="s">
        <v>38</v>
      </c>
      <c r="D201" s="16">
        <v>300</v>
      </c>
      <c r="E201" s="16" t="s">
        <v>38</v>
      </c>
      <c r="F201" s="17" t="str">
        <f ca="1">'1ER PERIODO DESARROLLO ECONOMIC'!D14</f>
        <v>ASCENDENTE</v>
      </c>
      <c r="G201" s="17" t="str">
        <f ca="1">'1ER PERIODO DESARROLLO ECONOMIC'!E14</f>
        <v>BITACORA OPERATIVA</v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</row>
    <row r="202" spans="1:21" ht="39.75" customHeight="1">
      <c r="A202" s="53"/>
      <c r="B202" s="53"/>
      <c r="C202" s="12" t="s">
        <v>249</v>
      </c>
      <c r="D202" s="16">
        <v>15</v>
      </c>
      <c r="E202" s="16" t="s">
        <v>242</v>
      </c>
      <c r="F202" s="17" t="str">
        <f ca="1">'1ER PERIODO DESARROLLO ECONOMIC'!D15</f>
        <v>ASCENDENTE</v>
      </c>
      <c r="G202" s="17" t="str">
        <f ca="1">'1ER PERIODO DESARROLLO ECONOMIC'!E15</f>
        <v>BITACORA OPERATIVA</v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</row>
    <row r="203" spans="1:21" ht="39.75" customHeight="1">
      <c r="A203" s="53"/>
      <c r="B203" s="53"/>
      <c r="C203" s="12" t="s">
        <v>38</v>
      </c>
      <c r="D203" s="16">
        <v>300</v>
      </c>
      <c r="E203" s="16" t="s">
        <v>250</v>
      </c>
      <c r="F203" s="17" t="str">
        <f ca="1">'1ER PERIODO DESARROLLO ECONOMIC'!D16</f>
        <v>ASCENDENTE</v>
      </c>
      <c r="G203" s="17" t="str">
        <f ca="1">'1ER PERIODO DESARROLLO ECONOMIC'!E16</f>
        <v>BITACORA OPERATIVA</v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</row>
    <row r="204" spans="1:21" ht="39.75" customHeight="1">
      <c r="A204" s="53"/>
      <c r="B204" s="53"/>
      <c r="C204" s="12" t="s">
        <v>251</v>
      </c>
      <c r="D204" s="16">
        <v>450</v>
      </c>
      <c r="E204" s="16" t="s">
        <v>252</v>
      </c>
      <c r="F204" s="17" t="str">
        <f ca="1">'1ER PERIODO DESARROLLO ECONOMIC'!D17</f>
        <v>ASCENDENTE</v>
      </c>
      <c r="G204" s="17" t="str">
        <f ca="1">'1ER PERIODO DESARROLLO ECONOMIC'!E17</f>
        <v>BITACORA OPERATIVA</v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</row>
    <row r="205" spans="1:21" ht="39.75" customHeight="1">
      <c r="A205" s="51"/>
      <c r="B205" s="51"/>
      <c r="C205" s="12" t="s">
        <v>253</v>
      </c>
      <c r="D205" s="16">
        <v>40</v>
      </c>
      <c r="E205" s="16" t="s">
        <v>254</v>
      </c>
      <c r="F205" s="17" t="str">
        <f ca="1">'1ER PERIODO DESARROLLO ECONOMIC'!D18</f>
        <v>ASCENDENTE</v>
      </c>
      <c r="G205" s="17" t="str">
        <f ca="1">'1ER PERIODO DESARROLLO ECONOMIC'!E18</f>
        <v>BITACORA OPERATIVA</v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</row>
    <row r="206" spans="1:21" ht="39.75" customHeight="1">
      <c r="A206" s="55" t="s">
        <v>255</v>
      </c>
      <c r="B206" s="55" t="s">
        <v>256</v>
      </c>
      <c r="C206" s="7" t="s">
        <v>257</v>
      </c>
      <c r="D206" s="17">
        <f ca="1">'1ER PERIODO CONSTRUCCION DE LA '!B2</f>
        <v>88</v>
      </c>
      <c r="E206" s="17" t="str">
        <f ca="1">'1ER PERIODO CONSTRUCCION DE LA '!C2</f>
        <v>COMITE</v>
      </c>
      <c r="F206" s="17" t="str">
        <f ca="1">'1ER PERIODO CONSTRUCCION DE LA '!D2</f>
        <v>ASCENDENTE</v>
      </c>
      <c r="G206" s="17" t="str">
        <f ca="1">'1ER PERIODO CONSTRUCCION DE LA '!E2</f>
        <v>SESIONES PUBLICAS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</row>
    <row r="207" spans="1:21" ht="39.75" customHeight="1">
      <c r="A207" s="53"/>
      <c r="B207" s="51"/>
      <c r="C207" s="7" t="s">
        <v>258</v>
      </c>
      <c r="D207" s="17">
        <f ca="1">'1ER PERIODO CONSTRUCCION DE LA '!B3</f>
        <v>72</v>
      </c>
      <c r="E207" s="17" t="str">
        <f ca="1">'1ER PERIODO CONSTRUCCION DE LA '!C3</f>
        <v>COMITE</v>
      </c>
      <c r="F207" s="17" t="str">
        <f ca="1">'1ER PERIODO CONSTRUCCION DE LA '!D3</f>
        <v>ASCENDENTE</v>
      </c>
      <c r="G207" s="17" t="str">
        <f ca="1">'1ER PERIODO CONSTRUCCION DE LA '!E3</f>
        <v>BITACORA DE ATENCION</v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</row>
    <row r="208" spans="1:21" ht="39.75" customHeight="1">
      <c r="A208" s="53"/>
      <c r="B208" s="50" t="s">
        <v>259</v>
      </c>
      <c r="C208" s="7" t="s">
        <v>260</v>
      </c>
      <c r="D208" s="17">
        <f ca="1">'1ER PERIODO CONSTRUCCION DE LA '!B4</f>
        <v>36</v>
      </c>
      <c r="E208" s="17" t="str">
        <f ca="1">'1ER PERIODO CONSTRUCCION DE LA '!C4</f>
        <v>EVENTO</v>
      </c>
      <c r="F208" s="17" t="str">
        <f ca="1">'1ER PERIODO CONSTRUCCION DE LA '!D4</f>
        <v>ASCENDENTE</v>
      </c>
      <c r="G208" s="17" t="str">
        <f ca="1">'1ER PERIODO CONSTRUCCION DE LA '!E4</f>
        <v>BITACORA DE ATENCION</v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</row>
    <row r="209" spans="1:21" ht="39.75" customHeight="1">
      <c r="A209" s="53"/>
      <c r="B209" s="53"/>
      <c r="C209" s="7" t="s">
        <v>261</v>
      </c>
      <c r="D209" s="17">
        <f ca="1">'1ER PERIODO CONSTRUCCION DE LA '!B5</f>
        <v>1</v>
      </c>
      <c r="E209" s="17" t="str">
        <f ca="1">'1ER PERIODO CONSTRUCCION DE LA '!C5</f>
        <v>TALLERES</v>
      </c>
      <c r="F209" s="17" t="str">
        <f ca="1">'1ER PERIODO CONSTRUCCION DE LA '!D5</f>
        <v>ASCENDENTE</v>
      </c>
      <c r="G209" s="17" t="str">
        <f ca="1">'1ER PERIODO CONSTRUCCION DE LA '!E5</f>
        <v>BITACORA OPERATIVA</v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</row>
    <row r="210" spans="1:21" ht="39.75" customHeight="1">
      <c r="A210" s="53"/>
      <c r="B210" s="51"/>
      <c r="C210" s="7" t="s">
        <v>38</v>
      </c>
      <c r="D210" s="17">
        <f ca="1">'1ER PERIODO CONSTRUCCION DE LA '!B6</f>
        <v>52520</v>
      </c>
      <c r="E210" s="17" t="str">
        <f ca="1">'1ER PERIODO CONSTRUCCION DE LA '!C6</f>
        <v>PERSONAS</v>
      </c>
      <c r="F210" s="17" t="str">
        <f ca="1">'1ER PERIODO CONSTRUCCION DE LA '!D6</f>
        <v>ASCENDENTE</v>
      </c>
      <c r="G210" s="17" t="str">
        <f ca="1">'1ER PERIODO CONSTRUCCION DE LA '!E6</f>
        <v>BITACORA OPERATIVA</v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</row>
    <row r="211" spans="1:21" ht="39.75" customHeight="1">
      <c r="A211" s="53"/>
      <c r="B211" s="50" t="s">
        <v>262</v>
      </c>
      <c r="C211" s="22" t="s">
        <v>263</v>
      </c>
      <c r="D211" s="17">
        <f ca="1">'1ER PERIODO CONSTRUCCION DE LA '!B7</f>
        <v>456</v>
      </c>
      <c r="E211" s="17" t="str">
        <f ca="1">'1ER PERIODO CONSTRUCCION DE LA '!C7</f>
        <v>CLASES</v>
      </c>
      <c r="F211" s="17" t="str">
        <f ca="1">'1ER PERIODO CONSTRUCCION DE LA '!D7</f>
        <v>ASCENDENTE</v>
      </c>
      <c r="G211" s="17" t="str">
        <f ca="1">'1ER PERIODO CONSTRUCCION DE LA '!E7</f>
        <v>BITACORA OPERATIVA</v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</row>
    <row r="212" spans="1:21" ht="39.75" customHeight="1">
      <c r="A212" s="53"/>
      <c r="B212" s="53"/>
      <c r="C212" s="22" t="s">
        <v>264</v>
      </c>
      <c r="D212" s="17">
        <f ca="1">'1ER PERIODO CONSTRUCCION DE LA '!B8</f>
        <v>84</v>
      </c>
      <c r="E212" s="17" t="str">
        <f ca="1">'1ER PERIODO CONSTRUCCION DE LA '!C8</f>
        <v>CLASES</v>
      </c>
      <c r="F212" s="17" t="str">
        <f ca="1">'1ER PERIODO CONSTRUCCION DE LA '!D8</f>
        <v>ASCENDENTE</v>
      </c>
      <c r="G212" s="17" t="str">
        <f ca="1">'1ER PERIODO CONSTRUCCION DE LA '!E8</f>
        <v>BITACORA OPERATIVA</v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</row>
    <row r="213" spans="1:21" ht="39.75" customHeight="1">
      <c r="A213" s="53"/>
      <c r="B213" s="53"/>
      <c r="C213" s="22" t="s">
        <v>265</v>
      </c>
      <c r="D213" s="17">
        <f ca="1">'1ER PERIODO CONSTRUCCION DE LA '!B9</f>
        <v>240</v>
      </c>
      <c r="E213" s="17" t="str">
        <f ca="1">'1ER PERIODO CONSTRUCCION DE LA '!C9</f>
        <v>CLASES</v>
      </c>
      <c r="F213" s="17" t="str">
        <f ca="1">'1ER PERIODO CONSTRUCCION DE LA '!D9</f>
        <v>ASCENDENTE</v>
      </c>
      <c r="G213" s="17" t="str">
        <f ca="1">'1ER PERIODO CONSTRUCCION DE LA '!E9</f>
        <v>BITACORA OPERATIVA</v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</row>
    <row r="214" spans="1:21" ht="39.75" customHeight="1">
      <c r="A214" s="53"/>
      <c r="B214" s="53"/>
      <c r="C214" s="22" t="s">
        <v>266</v>
      </c>
      <c r="D214" s="17">
        <f ca="1">'1ER PERIODO CONSTRUCCION DE LA '!B10</f>
        <v>216</v>
      </c>
      <c r="E214" s="17" t="str">
        <f ca="1">'1ER PERIODO CONSTRUCCION DE LA '!C10</f>
        <v>CLASES</v>
      </c>
      <c r="F214" s="17" t="str">
        <f ca="1">'1ER PERIODO CONSTRUCCION DE LA '!D10</f>
        <v>ASCENDENTE</v>
      </c>
      <c r="G214" s="17" t="str">
        <f ca="1">'1ER PERIODO CONSTRUCCION DE LA '!E10</f>
        <v>BITACORA OPERATIVA</v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</row>
    <row r="215" spans="1:21" ht="39.75" customHeight="1">
      <c r="A215" s="53"/>
      <c r="B215" s="53"/>
      <c r="C215" s="25" t="s">
        <v>267</v>
      </c>
      <c r="D215" s="17">
        <f ca="1">'1ER PERIODO CONSTRUCCION DE LA '!B11</f>
        <v>2088</v>
      </c>
      <c r="E215" s="17" t="str">
        <f ca="1">'1ER PERIODO CONSTRUCCION DE LA '!C11</f>
        <v>CLASES</v>
      </c>
      <c r="F215" s="17" t="str">
        <f ca="1">'1ER PERIODO CONSTRUCCION DE LA '!D11</f>
        <v>ASCENDENTE</v>
      </c>
      <c r="G215" s="17" t="str">
        <f ca="1">'1ER PERIODO CONSTRUCCION DE LA '!E11</f>
        <v>BITACORA OPERATIVA</v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</row>
    <row r="216" spans="1:21" ht="39.75" customHeight="1">
      <c r="A216" s="53"/>
      <c r="B216" s="53"/>
      <c r="C216" s="22" t="s">
        <v>268</v>
      </c>
      <c r="D216" s="17">
        <f ca="1">'1ER PERIODO CONSTRUCCION DE LA '!B12</f>
        <v>864</v>
      </c>
      <c r="E216" s="17" t="str">
        <f ca="1">'1ER PERIODO CONSTRUCCION DE LA '!C12</f>
        <v>CLASES</v>
      </c>
      <c r="F216" s="17" t="str">
        <f ca="1">'1ER PERIODO CONSTRUCCION DE LA '!D12</f>
        <v>ASCENDENTE</v>
      </c>
      <c r="G216" s="17" t="str">
        <f ca="1">'1ER PERIODO CONSTRUCCION DE LA '!E12</f>
        <v>BITACORA OPERATIVA</v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</row>
    <row r="217" spans="1:21" ht="39.75" customHeight="1">
      <c r="A217" s="53"/>
      <c r="B217" s="53"/>
      <c r="C217" s="22" t="s">
        <v>269</v>
      </c>
      <c r="D217" s="17">
        <f ca="1">'1ER PERIODO CONSTRUCCION DE LA '!B13</f>
        <v>48</v>
      </c>
      <c r="E217" s="17" t="str">
        <f ca="1">'1ER PERIODO CONSTRUCCION DE LA '!C13</f>
        <v>CLASES</v>
      </c>
      <c r="F217" s="17" t="str">
        <f ca="1">'1ER PERIODO CONSTRUCCION DE LA '!D13</f>
        <v>ASCENDENTE</v>
      </c>
      <c r="G217" s="17" t="str">
        <f ca="1">'1ER PERIODO CONSTRUCCION DE LA '!E13</f>
        <v>BITACORA OPERATIVA</v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</row>
    <row r="218" spans="1:21" ht="39.75" customHeight="1">
      <c r="A218" s="53"/>
      <c r="B218" s="51"/>
      <c r="C218" s="22" t="s">
        <v>270</v>
      </c>
      <c r="D218" s="17">
        <f ca="1">'1ER PERIODO CONSTRUCCION DE LA '!B14</f>
        <v>16732</v>
      </c>
      <c r="E218" s="17" t="str">
        <f ca="1">'1ER PERIODO CONSTRUCCION DE LA '!C14</f>
        <v>PERSONAS</v>
      </c>
      <c r="F218" s="17" t="str">
        <f ca="1">'1ER PERIODO CONSTRUCCION DE LA '!D14</f>
        <v>ASCENDENTE</v>
      </c>
      <c r="G218" s="17" t="str">
        <f ca="1">'1ER PERIODO CONSTRUCCION DE LA '!E14</f>
        <v>BITACORA OPERATIVA</v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</row>
    <row r="219" spans="1:21" ht="39.75" customHeight="1">
      <c r="A219" s="53"/>
      <c r="B219" s="50" t="s">
        <v>271</v>
      </c>
      <c r="C219" s="22" t="s">
        <v>37</v>
      </c>
      <c r="D219" s="17">
        <f ca="1">'1ER PERIODO CONSTRUCCION DE LA '!B15</f>
        <v>28</v>
      </c>
      <c r="E219" s="17" t="str">
        <f ca="1">'1ER PERIODO CONSTRUCCION DE LA '!C15</f>
        <v>PROGRAMAS</v>
      </c>
      <c r="F219" s="17" t="str">
        <f ca="1">'1ER PERIODO CONSTRUCCION DE LA '!D15</f>
        <v>ASCENDENTE</v>
      </c>
      <c r="G219" s="17" t="str">
        <f ca="1">'1ER PERIODO CONSTRUCCION DE LA '!E15</f>
        <v>BITACORA OPERATIVA</v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</row>
    <row r="220" spans="1:21" ht="39.75" customHeight="1">
      <c r="A220" s="53"/>
      <c r="B220" s="51"/>
      <c r="C220" s="22" t="s">
        <v>38</v>
      </c>
      <c r="D220" s="17">
        <f ca="1">'1ER PERIODO CONSTRUCCION DE LA '!B16</f>
        <v>3400</v>
      </c>
      <c r="E220" s="17" t="str">
        <f ca="1">'1ER PERIODO CONSTRUCCION DE LA '!C16</f>
        <v>PERSONAS</v>
      </c>
      <c r="F220" s="17" t="str">
        <f ca="1">'1ER PERIODO CONSTRUCCION DE LA '!D16</f>
        <v>ASCENDENTE</v>
      </c>
      <c r="G220" s="17" t="str">
        <f ca="1">'1ER PERIODO CONSTRUCCION DE LA '!E16</f>
        <v>BITACORA OPERATIVA</v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</row>
    <row r="221" spans="1:21" ht="39.75" customHeight="1">
      <c r="A221" s="53"/>
      <c r="B221" s="50" t="s">
        <v>272</v>
      </c>
      <c r="C221" s="22" t="s">
        <v>37</v>
      </c>
      <c r="D221" s="17">
        <f ca="1">'1ER PERIODO CONSTRUCCION DE LA '!B17</f>
        <v>32</v>
      </c>
      <c r="E221" s="17" t="str">
        <f ca="1">'1ER PERIODO CONSTRUCCION DE LA '!C17</f>
        <v>PROGRAMAS</v>
      </c>
      <c r="F221" s="17" t="str">
        <f ca="1">'1ER PERIODO CONSTRUCCION DE LA '!D17</f>
        <v>ASCENDENTE</v>
      </c>
      <c r="G221" s="17" t="str">
        <f ca="1">'1ER PERIODO CONSTRUCCION DE LA '!E17</f>
        <v>BITACORA OPERATIVA</v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</row>
    <row r="222" spans="1:21" ht="39.75" customHeight="1">
      <c r="A222" s="53"/>
      <c r="B222" s="51"/>
      <c r="C222" s="22" t="s">
        <v>273</v>
      </c>
      <c r="D222" s="17">
        <f ca="1">'1ER PERIODO CONSTRUCCION DE LA '!B18</f>
        <v>92</v>
      </c>
      <c r="E222" s="17" t="str">
        <f ca="1">'1ER PERIODO CONSTRUCCION DE LA '!C18</f>
        <v>ESCUELAS</v>
      </c>
      <c r="F222" s="17" t="str">
        <f ca="1">'1ER PERIODO CONSTRUCCION DE LA '!D18</f>
        <v>ASCENDENTE</v>
      </c>
      <c r="G222" s="17" t="str">
        <f ca="1">'1ER PERIODO CONSTRUCCION DE LA '!E18</f>
        <v>BITACORA OPERATIVA</v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</row>
    <row r="223" spans="1:21" ht="39.75" customHeight="1">
      <c r="A223" s="53"/>
      <c r="B223" s="50" t="s">
        <v>274</v>
      </c>
      <c r="C223" s="22" t="s">
        <v>38</v>
      </c>
      <c r="D223" s="17">
        <f ca="1">'1ER PERIODO CONSTRUCCION DE LA '!B19</f>
        <v>48</v>
      </c>
      <c r="E223" s="17" t="str">
        <f ca="1">'1ER PERIODO CONSTRUCCION DE LA '!C19</f>
        <v>PERSONAS</v>
      </c>
      <c r="F223" s="17" t="str">
        <f ca="1">'1ER PERIODO CONSTRUCCION DE LA '!D19</f>
        <v>ASCENDENTE</v>
      </c>
      <c r="G223" s="17" t="str">
        <f ca="1">'1ER PERIODO CONSTRUCCION DE LA '!E19</f>
        <v>BITACORA OPERATIVA</v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</row>
    <row r="224" spans="1:21" ht="39.75" customHeight="1">
      <c r="A224" s="53"/>
      <c r="B224" s="51"/>
      <c r="C224" s="22" t="s">
        <v>37</v>
      </c>
      <c r="D224" s="17">
        <f ca="1">'1ER PERIODO CONSTRUCCION DE LA '!B20</f>
        <v>2908</v>
      </c>
      <c r="E224" s="17" t="str">
        <f ca="1">'1ER PERIODO CONSTRUCCION DE LA '!C20</f>
        <v>PROGRAMAS</v>
      </c>
      <c r="F224" s="17" t="str">
        <f ca="1">'1ER PERIODO CONSTRUCCION DE LA '!D20</f>
        <v>ASCENDENTE</v>
      </c>
      <c r="G224" s="17" t="str">
        <f ca="1">'1ER PERIODO CONSTRUCCION DE LA '!E20</f>
        <v>BITACORA OPERATIVA</v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</row>
    <row r="225" spans="1:21" ht="39.75" customHeight="1">
      <c r="A225" s="53"/>
      <c r="B225" s="50" t="s">
        <v>275</v>
      </c>
      <c r="C225" s="22" t="s">
        <v>37</v>
      </c>
      <c r="D225" s="17">
        <f ca="1">'1ER PERIODO CONSTRUCCION DE LA '!B21</f>
        <v>1</v>
      </c>
      <c r="E225" s="17" t="str">
        <f ca="1">'1ER PERIODO CONSTRUCCION DE LA '!C21</f>
        <v>PROGRAMAS</v>
      </c>
      <c r="F225" s="17" t="str">
        <f ca="1">'1ER PERIODO CONSTRUCCION DE LA '!D21</f>
        <v>ASCENDENTE</v>
      </c>
      <c r="G225" s="17" t="str">
        <f ca="1">'1ER PERIODO CONSTRUCCION DE LA '!E21</f>
        <v>BITACORA OPERATIVA</v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</row>
    <row r="226" spans="1:21" ht="39.75" customHeight="1">
      <c r="A226" s="53"/>
      <c r="B226" s="51"/>
      <c r="C226" s="22" t="s">
        <v>38</v>
      </c>
      <c r="D226" s="17">
        <f ca="1">'1ER PERIODO CONSTRUCCION DE LA '!B22</f>
        <v>1</v>
      </c>
      <c r="E226" s="17" t="str">
        <f ca="1">'1ER PERIODO CONSTRUCCION DE LA '!C22</f>
        <v>PERSONAS</v>
      </c>
      <c r="F226" s="17" t="str">
        <f ca="1">'1ER PERIODO CONSTRUCCION DE LA '!D22</f>
        <v>ASCENDENTE</v>
      </c>
      <c r="G226" s="17" t="str">
        <f ca="1">'1ER PERIODO CONSTRUCCION DE LA '!E22</f>
        <v>BITACORA OPERATIVA</v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</row>
    <row r="227" spans="1:21" ht="39.75" customHeight="1">
      <c r="A227" s="53"/>
      <c r="B227" s="50" t="s">
        <v>276</v>
      </c>
      <c r="C227" s="22" t="s">
        <v>260</v>
      </c>
      <c r="D227" s="17">
        <f ca="1">'1ER PERIODO CONSTRUCCION DE LA '!B23</f>
        <v>28</v>
      </c>
      <c r="E227" s="17" t="str">
        <f ca="1">'1ER PERIODO CONSTRUCCION DE LA '!C23</f>
        <v>EVENTOS</v>
      </c>
      <c r="F227" s="17" t="str">
        <f ca="1">'1ER PERIODO CONSTRUCCION DE LA '!D23</f>
        <v>ASCENDENTE</v>
      </c>
      <c r="G227" s="17" t="str">
        <f ca="1">'1ER PERIODO CONSTRUCCION DE LA '!E23</f>
        <v>BITACORA OPERATIVA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</row>
    <row r="228" spans="1:21" ht="39.75" customHeight="1">
      <c r="A228" s="53"/>
      <c r="B228" s="51"/>
      <c r="C228" s="22" t="s">
        <v>38</v>
      </c>
      <c r="D228" s="17">
        <f ca="1">'1ER PERIODO CONSTRUCCION DE LA '!B24</f>
        <v>4040</v>
      </c>
      <c r="E228" s="17" t="str">
        <f ca="1">'1ER PERIODO CONSTRUCCION DE LA '!C24</f>
        <v>PERSONAS</v>
      </c>
      <c r="F228" s="17" t="str">
        <f ca="1">'1ER PERIODO CONSTRUCCION DE LA '!D24</f>
        <v>ASCENDENTE</v>
      </c>
      <c r="G228" s="17" t="str">
        <f ca="1">'1ER PERIODO CONSTRUCCION DE LA '!E24</f>
        <v>BITACORA OPERATIVA</v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</row>
    <row r="229" spans="1:21" ht="39.75" customHeight="1">
      <c r="A229" s="53"/>
      <c r="B229" s="50" t="s">
        <v>277</v>
      </c>
      <c r="C229" s="22" t="s">
        <v>278</v>
      </c>
      <c r="D229" s="17">
        <f ca="1">'1ER PERIODO CONSTRUCCION DE LA '!B25</f>
        <v>24</v>
      </c>
      <c r="E229" s="17" t="str">
        <f ca="1">'1ER PERIODO CONSTRUCCION DE LA '!C25</f>
        <v>M2</v>
      </c>
      <c r="F229" s="17" t="str">
        <f ca="1">'1ER PERIODO CONSTRUCCION DE LA '!D25</f>
        <v>ASCENDENTE</v>
      </c>
      <c r="G229" s="17" t="str">
        <f ca="1">'1ER PERIODO CONSTRUCCION DE LA '!E25</f>
        <v>BITACORA OPERATIVA</v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</row>
    <row r="230" spans="1:21" ht="39.75" customHeight="1">
      <c r="A230" s="53"/>
      <c r="B230" s="51"/>
      <c r="C230" s="22" t="s">
        <v>279</v>
      </c>
      <c r="D230" s="17">
        <f ca="1">'1ER PERIODO CONSTRUCCION DE LA '!B26</f>
        <v>24</v>
      </c>
      <c r="E230" s="17" t="str">
        <f ca="1">'1ER PERIODO CONSTRUCCION DE LA '!C26</f>
        <v>MURALES</v>
      </c>
      <c r="F230" s="17" t="str">
        <f ca="1">'1ER PERIODO CONSTRUCCION DE LA '!D26</f>
        <v>ASCENDENTE</v>
      </c>
      <c r="G230" s="17" t="str">
        <f ca="1">'1ER PERIODO CONSTRUCCION DE LA '!E26</f>
        <v>BITACORA OPERATIVA</v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</row>
    <row r="231" spans="1:21" ht="39.75" customHeight="1">
      <c r="A231" s="53"/>
      <c r="B231" s="50" t="s">
        <v>280</v>
      </c>
      <c r="C231" s="22" t="s">
        <v>281</v>
      </c>
      <c r="D231" s="17">
        <f ca="1">'1ER PERIODO CONSTRUCCION DE LA '!B27</f>
        <v>23</v>
      </c>
      <c r="E231" s="17" t="str">
        <f ca="1">'1ER PERIODO CONSTRUCCION DE LA '!C27</f>
        <v>TALLERES</v>
      </c>
      <c r="F231" s="17" t="str">
        <f ca="1">'1ER PERIODO CONSTRUCCION DE LA '!D27</f>
        <v>ASCENDENTE</v>
      </c>
      <c r="G231" s="17" t="str">
        <f ca="1">'1ER PERIODO CONSTRUCCION DE LA '!E27</f>
        <v>BITACORA OPERATIVA</v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</row>
    <row r="232" spans="1:21" ht="39.75" customHeight="1">
      <c r="A232" s="53"/>
      <c r="B232" s="51"/>
      <c r="C232" s="22" t="s">
        <v>38</v>
      </c>
      <c r="D232" s="17">
        <f ca="1">'1ER PERIODO CONSTRUCCION DE LA '!B28</f>
        <v>4260</v>
      </c>
      <c r="E232" s="17" t="str">
        <f ca="1">'1ER PERIODO CONSTRUCCION DE LA '!C28</f>
        <v>PERSONAS</v>
      </c>
      <c r="F232" s="17" t="str">
        <f ca="1">'1ER PERIODO CONSTRUCCION DE LA '!D28</f>
        <v>ASCENDENTE</v>
      </c>
      <c r="G232" s="17" t="str">
        <f ca="1">'1ER PERIODO CONSTRUCCION DE LA '!E28</f>
        <v>BITACORA OPERATIVA</v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</row>
    <row r="233" spans="1:21" ht="39.75" customHeight="1">
      <c r="A233" s="53"/>
      <c r="B233" s="50" t="s">
        <v>282</v>
      </c>
      <c r="C233" s="22" t="s">
        <v>281</v>
      </c>
      <c r="D233" s="17">
        <f ca="1">'1ER PERIODO CONSTRUCCION DE LA '!B29</f>
        <v>10</v>
      </c>
      <c r="E233" s="17" t="str">
        <f ca="1">'1ER PERIODO CONSTRUCCION DE LA '!C29</f>
        <v>TALLERES</v>
      </c>
      <c r="F233" s="17" t="str">
        <f ca="1">'1ER PERIODO CONSTRUCCION DE LA '!D29</f>
        <v>ASCENDENTE</v>
      </c>
      <c r="G233" s="17" t="str">
        <f ca="1">'1ER PERIODO CONSTRUCCION DE LA '!E29</f>
        <v>BITACORA OPERATIVA</v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</row>
    <row r="234" spans="1:21" ht="39.75" customHeight="1">
      <c r="A234" s="51"/>
      <c r="B234" s="51"/>
      <c r="C234" s="22" t="s">
        <v>38</v>
      </c>
      <c r="D234" s="17">
        <f ca="1">'1ER PERIODO CONSTRUCCION DE LA '!B30</f>
        <v>1620</v>
      </c>
      <c r="E234" s="17" t="str">
        <f ca="1">'1ER PERIODO CONSTRUCCION DE LA '!C30</f>
        <v>PERSONAS</v>
      </c>
      <c r="F234" s="17" t="str">
        <f ca="1">'1ER PERIODO CONSTRUCCION DE LA '!D30</f>
        <v>ASCENDENTE</v>
      </c>
      <c r="G234" s="17" t="str">
        <f ca="1">'1ER PERIODO CONSTRUCCION DE LA '!E30</f>
        <v>BITACORA OPERATIVA</v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</row>
    <row r="235" spans="1:21" ht="39.75" customHeight="1">
      <c r="A235" s="52" t="s">
        <v>283</v>
      </c>
      <c r="B235" s="52" t="s">
        <v>284</v>
      </c>
      <c r="C235" s="12" t="str">
        <f ca="1">'1ERA SERVICIOS GENERALES'!A2</f>
        <v>MANTENIMIENTO A INFRAESTRUCTURA DE AGUA POTABLE</v>
      </c>
      <c r="D235" s="10">
        <f ca="1">'1ERA SERVICIOS GENERALES'!B2</f>
        <v>360</v>
      </c>
      <c r="E235" s="10" t="str">
        <f ca="1">'1ERA SERVICIOS GENERALES'!C2</f>
        <v>MANTENIMEINTO A INFRAESTRUCTURA</v>
      </c>
      <c r="F235" s="10" t="str">
        <f ca="1">'1ERA SERVICIOS GENERALES'!D2</f>
        <v>ASCENDENTE</v>
      </c>
      <c r="G235" s="10" t="str">
        <f ca="1">'1ERA SERVICIOS GENERALES'!E2</f>
        <v>BITACORA DE ATENCION</v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</row>
    <row r="236" spans="1:21" ht="39.75" customHeight="1">
      <c r="A236" s="53"/>
      <c r="B236" s="53"/>
      <c r="C236" s="12" t="str">
        <f ca="1">'1ERA SERVICIOS GENERALES'!A3</f>
        <v>REPORTES FUGAS DE AGUA</v>
      </c>
      <c r="D236" s="10">
        <f ca="1">'1ERA SERVICIOS GENERALES'!B3</f>
        <v>800</v>
      </c>
      <c r="E236" s="10" t="str">
        <f ca="1">'1ERA SERVICIOS GENERALES'!C3</f>
        <v>REPORTES ATENDIDOS</v>
      </c>
      <c r="F236" s="10" t="str">
        <f ca="1">'1ERA SERVICIOS GENERALES'!D3</f>
        <v>DESCENDENTE</v>
      </c>
      <c r="G236" s="10" t="str">
        <f ca="1">'1ERA SERVICIOS GENERALES'!E3</f>
        <v>BITACORA DE ATENCION</v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</row>
    <row r="237" spans="1:21" ht="39.75" customHeight="1">
      <c r="A237" s="53"/>
      <c r="B237" s="53"/>
      <c r="C237" s="12" t="str">
        <f ca="1">'1ERA SERVICIOS GENERALES'!A4</f>
        <v>RECONEXIONES TOMAS DE AGUA</v>
      </c>
      <c r="D237" s="10">
        <f ca="1">'1ERA SERVICIOS GENERALES'!B4</f>
        <v>60</v>
      </c>
      <c r="E237" s="10" t="str">
        <f ca="1">'1ERA SERVICIOS GENERALES'!C4</f>
        <v>RECONEXIONES DE TOMAS</v>
      </c>
      <c r="F237" s="10" t="str">
        <f ca="1">'1ERA SERVICIOS GENERALES'!D4</f>
        <v>DESCENDENTE</v>
      </c>
      <c r="G237" s="10" t="str">
        <f ca="1">'1ERA SERVICIOS GENERALES'!E4</f>
        <v>BITACORA DE ATENCION</v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</row>
    <row r="238" spans="1:21" ht="39.75" customHeight="1">
      <c r="A238" s="53"/>
      <c r="B238" s="53"/>
      <c r="C238" s="12" t="str">
        <f ca="1">'1ERA SERVICIOS GENERALES'!A5</f>
        <v>SOPLETEAR TOMAS</v>
      </c>
      <c r="D238" s="10">
        <f ca="1">'1ERA SERVICIOS GENERALES'!B5</f>
        <v>120</v>
      </c>
      <c r="E238" s="10" t="str">
        <f ca="1">'1ERA SERVICIOS GENERALES'!C5</f>
        <v>TOMAS SOPLETEADAS</v>
      </c>
      <c r="F238" s="10" t="str">
        <f ca="1">'1ERA SERVICIOS GENERALES'!D5</f>
        <v>ASCENDENTE</v>
      </c>
      <c r="G238" s="10" t="str">
        <f ca="1">'1ERA SERVICIOS GENERALES'!E5</f>
        <v>BITACORA OPERATIVA</v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</row>
    <row r="239" spans="1:21" ht="39.75" customHeight="1">
      <c r="A239" s="53"/>
      <c r="B239" s="53"/>
      <c r="C239" s="12" t="str">
        <f ca="1">'1ERA SERVICIOS GENERALES'!A6</f>
        <v>SUSPENSIÓN DE TOMAS</v>
      </c>
      <c r="D239" s="10">
        <f ca="1">'1ERA SERVICIOS GENERALES'!B6</f>
        <v>85</v>
      </c>
      <c r="E239" s="10" t="str">
        <f ca="1">'1ERA SERVICIOS GENERALES'!C6</f>
        <v>TOMAS SUSPENDIDAS</v>
      </c>
      <c r="F239" s="10" t="str">
        <f ca="1">'1ERA SERVICIOS GENERALES'!D6</f>
        <v>ASCENDENTE</v>
      </c>
      <c r="G239" s="10" t="str">
        <f ca="1">'1ERA SERVICIOS GENERALES'!E6</f>
        <v>BITACORA OPERATIVA</v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</row>
    <row r="240" spans="1:21" ht="39.75" customHeight="1">
      <c r="A240" s="53"/>
      <c r="B240" s="53"/>
      <c r="C240" s="12" t="str">
        <f ca="1">'1ERA SERVICIOS GENERALES'!A7</f>
        <v>REPARACIÓN O DESASOLVE</v>
      </c>
      <c r="D240" s="10">
        <f ca="1">'1ERA SERVICIOS GENERALES'!B7</f>
        <v>180</v>
      </c>
      <c r="E240" s="10" t="str">
        <f ca="1">'1ERA SERVICIOS GENERALES'!C7</f>
        <v>REPARACIONES</v>
      </c>
      <c r="F240" s="10" t="str">
        <f ca="1">'1ERA SERVICIOS GENERALES'!D7</f>
        <v>ASCENDENTE</v>
      </c>
      <c r="G240" s="10" t="str">
        <f ca="1">'1ERA SERVICIOS GENERALES'!E7</f>
        <v>BITACORA OPERATIVA</v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</row>
    <row r="241" spans="1:21" ht="39.75" customHeight="1">
      <c r="A241" s="53"/>
      <c r="B241" s="53"/>
      <c r="C241" s="12" t="str">
        <f ca="1">'1ERA SERVICIOS GENERALES'!A8</f>
        <v>CAMBIOS DE NOMBRE DE TOMAS DE AGUA POTABLE</v>
      </c>
      <c r="D241" s="10">
        <f ca="1">'1ERA SERVICIOS GENERALES'!B8</f>
        <v>72</v>
      </c>
      <c r="E241" s="10" t="str">
        <f ca="1">'1ERA SERVICIOS GENERALES'!C8</f>
        <v>CAMBIOS DE NOMBRES</v>
      </c>
      <c r="F241" s="10" t="str">
        <f ca="1">'1ERA SERVICIOS GENERALES'!D8</f>
        <v>ASCENDENTE</v>
      </c>
      <c r="G241" s="10" t="str">
        <f ca="1">'1ERA SERVICIOS GENERALES'!E8</f>
        <v>BITACORA OPERATIVA</v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</row>
    <row r="242" spans="1:21" ht="39.75" customHeight="1">
      <c r="A242" s="53"/>
      <c r="B242" s="53"/>
      <c r="C242" s="12" t="str">
        <f ca="1">'1ERA SERVICIOS GENERALES'!A9</f>
        <v>NUEVAS TOMAS DE AGUA POTABLE(ZONA URBANA)</v>
      </c>
      <c r="D242" s="10">
        <f ca="1">'1ERA SERVICIOS GENERALES'!B9</f>
        <v>240</v>
      </c>
      <c r="E242" s="10" t="str">
        <f ca="1">'1ERA SERVICIOS GENERALES'!C9</f>
        <v>NUEVAS TOMAS</v>
      </c>
      <c r="F242" s="10" t="str">
        <f ca="1">'1ERA SERVICIOS GENERALES'!D9</f>
        <v>ASCENDENTE</v>
      </c>
      <c r="G242" s="10" t="str">
        <f ca="1">'1ERA SERVICIOS GENERALES'!E9</f>
        <v>BITACORA OPERATIVA</v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</row>
    <row r="243" spans="1:21" ht="39.75" customHeight="1">
      <c r="A243" s="53"/>
      <c r="B243" s="53"/>
      <c r="C243" s="12" t="str">
        <f ca="1">'1ERA SERVICIOS GENERALES'!A10</f>
        <v>CAPTURA DE LECTURAS DE AGUA POTABLE</v>
      </c>
      <c r="D243" s="10">
        <f ca="1">'1ERA SERVICIOS GENERALES'!B10</f>
        <v>168000</v>
      </c>
      <c r="E243" s="10" t="str">
        <f ca="1">'1ERA SERVICIOS GENERALES'!C10</f>
        <v>LECTURAS</v>
      </c>
      <c r="F243" s="10" t="str">
        <f ca="1">'1ERA SERVICIOS GENERALES'!D10</f>
        <v>ASCENDENTE</v>
      </c>
      <c r="G243" s="10" t="str">
        <f ca="1">'1ERA SERVICIOS GENERALES'!E10</f>
        <v>BITACORA OPERATIVA</v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</row>
    <row r="244" spans="1:21" ht="39.75" customHeight="1">
      <c r="A244" s="53"/>
      <c r="B244" s="53"/>
      <c r="C244" s="12" t="str">
        <f ca="1">'1ERA SERVICIOS GENERALES'!A11</f>
        <v>SOLICITUDES DE PIPAS</v>
      </c>
      <c r="D244" s="10">
        <f ca="1">'1ERA SERVICIOS GENERALES'!B11</f>
        <v>480</v>
      </c>
      <c r="E244" s="10" t="str">
        <f ca="1">'1ERA SERVICIOS GENERALES'!C11</f>
        <v>SOLICITUDES DE PITAS</v>
      </c>
      <c r="F244" s="10" t="str">
        <f ca="1">'1ERA SERVICIOS GENERALES'!D11</f>
        <v>ASCENDENTE</v>
      </c>
      <c r="G244" s="10" t="str">
        <f ca="1">'1ERA SERVICIOS GENERALES'!E11</f>
        <v>BITACORA OPERATIVA</v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</row>
    <row r="245" spans="1:21" ht="39.75" customHeight="1">
      <c r="A245" s="53"/>
      <c r="B245" s="53"/>
      <c r="C245" s="12" t="str">
        <f ca="1">'1ERA SERVICIOS GENERALES'!A12</f>
        <v>PIPAS ENTREGADAS</v>
      </c>
      <c r="D245" s="10">
        <f ca="1">'1ERA SERVICIOS GENERALES'!B12</f>
        <v>480</v>
      </c>
      <c r="E245" s="10" t="str">
        <f ca="1">'1ERA SERVICIOS GENERALES'!C12</f>
        <v>PIPAS ENTREGADAS</v>
      </c>
      <c r="F245" s="10" t="str">
        <f ca="1">'1ERA SERVICIOS GENERALES'!D12</f>
        <v>ASCENDENTE</v>
      </c>
      <c r="G245" s="10" t="str">
        <f ca="1">'1ERA SERVICIOS GENERALES'!E12</f>
        <v>BITACORA OPERATIVA</v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</row>
    <row r="246" spans="1:21" ht="39.75" customHeight="1">
      <c r="A246" s="53"/>
      <c r="B246" s="53"/>
      <c r="C246" s="12" t="str">
        <f ca="1">'1ERA SERVICIOS GENERALES'!A13</f>
        <v>CERTIFICADOS DE NO ADEUDO</v>
      </c>
      <c r="D246" s="10">
        <f ca="1">'1ERA SERVICIOS GENERALES'!B13</f>
        <v>48</v>
      </c>
      <c r="E246" s="10" t="str">
        <f ca="1">'1ERA SERVICIOS GENERALES'!C13</f>
        <v>CERTIFICADOS DE NO ADEUDOS</v>
      </c>
      <c r="F246" s="10" t="str">
        <f ca="1">'1ERA SERVICIOS GENERALES'!D13</f>
        <v>ASCENDENTE</v>
      </c>
      <c r="G246" s="10" t="str">
        <f ca="1">'1ERA SERVICIOS GENERALES'!E13</f>
        <v>BITACORA OPERATIVA</v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</row>
    <row r="247" spans="1:21" ht="39.75" customHeight="1">
      <c r="A247" s="53"/>
      <c r="B247" s="53"/>
      <c r="C247" s="12" t="str">
        <f ca="1">'1ERA SERVICIOS GENERALES'!A14</f>
        <v>SOLICITUDES DE VERIFICACIÓN DOMICILIARIA (EFICIENCIA DEL SERVICIO)</v>
      </c>
      <c r="D247" s="10">
        <f ca="1">'1ERA SERVICIOS GENERALES'!B14</f>
        <v>144</v>
      </c>
      <c r="E247" s="10" t="str">
        <f ca="1">'1ERA SERVICIOS GENERALES'!C14</f>
        <v>SOLICITUDES DE VERIFICACION</v>
      </c>
      <c r="F247" s="10" t="str">
        <f ca="1">'1ERA SERVICIOS GENERALES'!D14</f>
        <v>ASCENDENTE</v>
      </c>
      <c r="G247" s="10" t="str">
        <f ca="1">'1ERA SERVICIOS GENERALES'!E14</f>
        <v>BITACORA OPERATIVA</v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</row>
    <row r="248" spans="1:21" ht="39.75" customHeight="1">
      <c r="A248" s="53"/>
      <c r="B248" s="53"/>
      <c r="C248" s="12" t="str">
        <f ca="1">'1ERA SERVICIOS GENERALES'!A15</f>
        <v>INEXISTENCIAS DE TOMAS</v>
      </c>
      <c r="D248" s="10">
        <f ca="1">'1ERA SERVICIOS GENERALES'!B15</f>
        <v>1080</v>
      </c>
      <c r="E248" s="10" t="str">
        <f ca="1">'1ERA SERVICIOS GENERALES'!C15</f>
        <v>INEXISTENCIA DE TOMAS</v>
      </c>
      <c r="F248" s="10" t="str">
        <f ca="1">'1ERA SERVICIOS GENERALES'!D15</f>
        <v>ASCENDENTE</v>
      </c>
      <c r="G248" s="10" t="str">
        <f ca="1">'1ERA SERVICIOS GENERALES'!E15</f>
        <v>BITACORA OPERATIVA</v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</row>
    <row r="249" spans="1:21" ht="39.75" customHeight="1">
      <c r="A249" s="53"/>
      <c r="B249" s="53"/>
      <c r="C249" s="12" t="str">
        <f ca="1">'1ERA SERVICIOS GENERALES'!A16</f>
        <v>VERIFICACIÓN DE DRENAJE EN FRACCIONAMIENTOS NUEVOS</v>
      </c>
      <c r="D249" s="10">
        <f ca="1">'1ERA SERVICIOS GENERALES'!B16</f>
        <v>12</v>
      </c>
      <c r="E249" s="10" t="str">
        <f ca="1">'1ERA SERVICIOS GENERALES'!C16</f>
        <v xml:space="preserve">VERIFICACION DE DRENAJE </v>
      </c>
      <c r="F249" s="10" t="str">
        <f ca="1">'1ERA SERVICIOS GENERALES'!D16</f>
        <v>ASCENDENTE</v>
      </c>
      <c r="G249" s="10" t="str">
        <f ca="1">'1ERA SERVICIOS GENERALES'!E16</f>
        <v>BITACORA OPERATIVA</v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</row>
    <row r="250" spans="1:21" ht="39.75" customHeight="1">
      <c r="A250" s="53"/>
      <c r="B250" s="53"/>
      <c r="C250" s="12" t="str">
        <f ca="1">'1ERA SERVICIOS GENERALES'!A17</f>
        <v>HABILITACIÓN DE REDES NUEVAS DE AGUA POTABLE</v>
      </c>
      <c r="D250" s="10">
        <f ca="1">'1ERA SERVICIOS GENERALES'!B17</f>
        <v>96</v>
      </c>
      <c r="E250" s="10" t="str">
        <f ca="1">'1ERA SERVICIOS GENERALES'!C17</f>
        <v>NUEVAS REDES DE AGUA POTABLE</v>
      </c>
      <c r="F250" s="10" t="str">
        <f ca="1">'1ERA SERVICIOS GENERALES'!D17</f>
        <v>ASCENDENTE</v>
      </c>
      <c r="G250" s="10" t="str">
        <f ca="1">'1ERA SERVICIOS GENERALES'!E17</f>
        <v>BITACORA OPERATIVA</v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</row>
    <row r="251" spans="1:21" ht="39.75" customHeight="1">
      <c r="A251" s="53"/>
      <c r="B251" s="53"/>
      <c r="C251" s="12" t="str">
        <f ca="1">'1ERA SERVICIOS GENERALES'!A18</f>
        <v>INSTALACIÓN Y REHABILITACIÓN DE SANITARIOS</v>
      </c>
      <c r="D251" s="10">
        <f ca="1">'1ERA SERVICIOS GENERALES'!B18</f>
        <v>8</v>
      </c>
      <c r="E251" s="10" t="str">
        <f ca="1">'1ERA SERVICIOS GENERALES'!C18</f>
        <v>MANTENIMEINTO A SANITARIOS DE BAÑOS PUBLICOS</v>
      </c>
      <c r="F251" s="10" t="str">
        <f ca="1">'1ERA SERVICIOS GENERALES'!D18</f>
        <v>ASCENDENTE</v>
      </c>
      <c r="G251" s="10" t="str">
        <f ca="1">'1ERA SERVICIOS GENERALES'!E18</f>
        <v>BITACORA OPERATIVA</v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</row>
    <row r="252" spans="1:21" ht="39.75" customHeight="1">
      <c r="A252" s="53"/>
      <c r="B252" s="53"/>
      <c r="C252" s="12" t="str">
        <f ca="1">'1ERA SERVICIOS GENERALES'!A19</f>
        <v>MANTENIMIENTO A BOMBAS DE AGUA</v>
      </c>
      <c r="D252" s="10">
        <f ca="1">'1ERA SERVICIOS GENERALES'!B19</f>
        <v>24</v>
      </c>
      <c r="E252" s="10" t="str">
        <f ca="1">'1ERA SERVICIOS GENERALES'!C19</f>
        <v xml:space="preserve">MANTENIMIENTOS A BOMBAS DE AGUA </v>
      </c>
      <c r="F252" s="10" t="str">
        <f ca="1">'1ERA SERVICIOS GENERALES'!D19</f>
        <v>ASCENDENTE</v>
      </c>
      <c r="G252" s="10" t="str">
        <f ca="1">'1ERA SERVICIOS GENERALES'!E19</f>
        <v>BITACORA OPERATIVA</v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</row>
    <row r="253" spans="1:21" ht="39.75" customHeight="1">
      <c r="A253" s="53"/>
      <c r="B253" s="53"/>
      <c r="C253" s="12" t="str">
        <f ca="1">'1ERA SERVICIOS GENERALES'!A20</f>
        <v>REPARACION DE FUGAS DE DRENAJE</v>
      </c>
      <c r="D253" s="10">
        <f ca="1">'1ERA SERVICIOS GENERALES'!B20</f>
        <v>14</v>
      </c>
      <c r="E253" s="10" t="str">
        <f ca="1">'1ERA SERVICIOS GENERALES'!C20</f>
        <v>REPARACION FUGAS DE DRENAJE</v>
      </c>
      <c r="F253" s="10" t="str">
        <f ca="1">'1ERA SERVICIOS GENERALES'!D20</f>
        <v>ASCENDENTE</v>
      </c>
      <c r="G253" s="10" t="str">
        <f ca="1">'1ERA SERVICIOS GENERALES'!E20</f>
        <v>BITACORA OPERATIVA</v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</row>
    <row r="254" spans="1:21" ht="39.75" customHeight="1">
      <c r="A254" s="53"/>
      <c r="B254" s="53"/>
      <c r="C254" s="12" t="str">
        <f ca="1">'1ERA SERVICIOS GENERALES'!A21</f>
        <v>LITROS EXTRAIDOS</v>
      </c>
      <c r="D254" s="10">
        <f ca="1">'1ERA SERVICIOS GENERALES'!B21</f>
        <v>60</v>
      </c>
      <c r="E254" s="10" t="str">
        <f ca="1">'1ERA SERVICIOS GENERALES'!C21</f>
        <v>LITROS EXTRAIDOS</v>
      </c>
      <c r="F254" s="10" t="str">
        <f ca="1">'1ERA SERVICIOS GENERALES'!D21</f>
        <v>ASCENDENTE</v>
      </c>
      <c r="G254" s="10" t="str">
        <f ca="1">'1ERA SERVICIOS GENERALES'!E21</f>
        <v>BITACORA OPERATIVA</v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</row>
    <row r="255" spans="1:21" ht="39.75" customHeight="1">
      <c r="A255" s="53"/>
      <c r="B255" s="53"/>
      <c r="C255" s="12" t="str">
        <f ca="1">'1ERA SERVICIOS GENERALES'!A22</f>
        <v>LITROS DE HIPOCLORITO DE SODIO EN POZOS</v>
      </c>
      <c r="D255" s="10">
        <f ca="1">'1ERA SERVICIOS GENERALES'!B22</f>
        <v>1200000</v>
      </c>
      <c r="E255" s="10" t="str">
        <f ca="1">'1ERA SERVICIOS GENERALES'!C22</f>
        <v>LITROS DE HIPOCLORITO DE SODIO AGREGADOS A LOS POZOS</v>
      </c>
      <c r="F255" s="10" t="str">
        <f ca="1">'1ERA SERVICIOS GENERALES'!D22</f>
        <v>ASCENDENTE</v>
      </c>
      <c r="G255" s="10" t="str">
        <f ca="1">'1ERA SERVICIOS GENERALES'!E22</f>
        <v>BITACORA OPERATIVA</v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</row>
    <row r="256" spans="1:21" ht="39.75" customHeight="1">
      <c r="A256" s="53"/>
      <c r="B256" s="53"/>
      <c r="C256" s="12" t="str">
        <f ca="1">'1ERA SERVICIOS GENERALES'!A23</f>
        <v>MANTENIMIENTO A PLANTAS TRATADORAS</v>
      </c>
      <c r="D256" s="10">
        <f ca="1">'1ERA SERVICIOS GENERALES'!B23</f>
        <v>114000</v>
      </c>
      <c r="E256" s="10" t="str">
        <f ca="1">'1ERA SERVICIOS GENERALES'!C23</f>
        <v>MANTENIMIENTOS REALIZADOS</v>
      </c>
      <c r="F256" s="10" t="str">
        <f ca="1">'1ERA SERVICIOS GENERALES'!D23</f>
        <v>ASCENDENTE</v>
      </c>
      <c r="G256" s="10" t="str">
        <f ca="1">'1ERA SERVICIOS GENERALES'!E23</f>
        <v>BITACORA OPERATIVA</v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</row>
    <row r="257" spans="1:21" ht="39.75" customHeight="1">
      <c r="A257" s="53"/>
      <c r="B257" s="53"/>
      <c r="C257" s="12" t="str">
        <f ca="1">'1ERA SERVICIOS GENERALES'!A24</f>
        <v>ACTIVIDADES EXTRAS (APOYO A EVENTOS, MANTENIMIENTO HÍDRICO DE EDIFICIOS PÚBLICOS)</v>
      </c>
      <c r="D257" s="10">
        <f ca="1">'1ERA SERVICIOS GENERALES'!B24</f>
        <v>2880</v>
      </c>
      <c r="E257" s="10" t="str">
        <f ca="1">'1ERA SERVICIOS GENERALES'!C24</f>
        <v>ACTIVIDADES EXTRAS</v>
      </c>
      <c r="F257" s="10" t="str">
        <f ca="1">'1ERA SERVICIOS GENERALES'!D24</f>
        <v>ASCENDENTE</v>
      </c>
      <c r="G257" s="10" t="str">
        <f ca="1">'1ERA SERVICIOS GENERALES'!E24</f>
        <v>BITACORA OPERATIVA</v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</row>
    <row r="258" spans="1:21" ht="39.75" customHeight="1">
      <c r="A258" s="53"/>
      <c r="B258" s="51"/>
      <c r="C258" s="12" t="str">
        <f ca="1">'1ERA SERVICIOS GENERALES'!A25</f>
        <v>ANALISIS FISICOQUÍMICOS</v>
      </c>
      <c r="D258" s="10">
        <f ca="1">'1ERA SERVICIOS GENERALES'!B25</f>
        <v>12</v>
      </c>
      <c r="E258" s="10" t="str">
        <f ca="1">'1ERA SERVICIOS GENERALES'!C25</f>
        <v>ANALISIS FISICO</v>
      </c>
      <c r="F258" s="10" t="str">
        <f ca="1">'1ERA SERVICIOS GENERALES'!D25</f>
        <v>ASCENDENTE</v>
      </c>
      <c r="G258" s="10" t="str">
        <f ca="1">'1ERA SERVICIOS GENERALES'!E25</f>
        <v>BITACORA OPERATIVA</v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</row>
    <row r="259" spans="1:21" ht="39.75" customHeight="1">
      <c r="A259" s="53"/>
      <c r="B259" s="52" t="s">
        <v>313</v>
      </c>
      <c r="C259" s="12" t="str">
        <f ca="1">'1ERA SERVICIOS GENERALES'!A26</f>
        <v>PODAS EN ESPACIOS PUBLICOS MUNICIPALES</v>
      </c>
      <c r="D259" s="10">
        <f ca="1">'1ERA SERVICIOS GENERALES'!B26</f>
        <v>480</v>
      </c>
      <c r="E259" s="10" t="str">
        <f ca="1">'1ERA SERVICIOS GENERALES'!C26</f>
        <v>PODAS</v>
      </c>
      <c r="F259" s="10" t="str">
        <f ca="1">'1ERA SERVICIOS GENERALES'!D26</f>
        <v>ASCENDENTE</v>
      </c>
      <c r="G259" s="10" t="str">
        <f ca="1">'1ERA SERVICIOS GENERALES'!E26</f>
        <v>BITACORA OPERATIVA</v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</row>
    <row r="260" spans="1:21" ht="39.75" customHeight="1">
      <c r="A260" s="53"/>
      <c r="B260" s="53"/>
      <c r="C260" s="12" t="str">
        <f ca="1">'1ERA SERVICIOS GENERALES'!A27</f>
        <v>PODAS EN CARRETERAS Y CAMINOS</v>
      </c>
      <c r="D260" s="10">
        <f ca="1">'1ERA SERVICIOS GENERALES'!B27</f>
        <v>480</v>
      </c>
      <c r="E260" s="10" t="str">
        <f ca="1">'1ERA SERVICIOS GENERALES'!C27</f>
        <v>PODAS EN CARRETERAS</v>
      </c>
      <c r="F260" s="10" t="str">
        <f ca="1">'1ERA SERVICIOS GENERALES'!D27</f>
        <v>ASCENDENTE</v>
      </c>
      <c r="G260" s="10" t="str">
        <f ca="1">'1ERA SERVICIOS GENERALES'!E27</f>
        <v>BITACORA OPERATIVA</v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</row>
    <row r="261" spans="1:21" ht="39.75" customHeight="1">
      <c r="A261" s="53"/>
      <c r="B261" s="53"/>
      <c r="C261" s="12" t="str">
        <f ca="1">'1ERA SERVICIOS GENERALES'!A28</f>
        <v>PODAS EN CAMELLONES Y BANQUETAS DE CALLES</v>
      </c>
      <c r="D261" s="10">
        <f ca="1">'1ERA SERVICIOS GENERALES'!B28</f>
        <v>180</v>
      </c>
      <c r="E261" s="10" t="str">
        <f ca="1">'1ERA SERVICIOS GENERALES'!C28</f>
        <v>PODAS EN CAMELLONES</v>
      </c>
      <c r="F261" s="10" t="str">
        <f ca="1">'1ERA SERVICIOS GENERALES'!D28</f>
        <v>ASCENDENTE</v>
      </c>
      <c r="G261" s="10" t="str">
        <f ca="1">'1ERA SERVICIOS GENERALES'!E28</f>
        <v>BITACORA OPERATIVA</v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</row>
    <row r="262" spans="1:21" ht="39.75" customHeight="1">
      <c r="A262" s="53"/>
      <c r="B262" s="53"/>
      <c r="C262" s="12" t="str">
        <f ca="1">'1ERA SERVICIOS GENERALES'!A29</f>
        <v>PODAS EN UNIDADES DEPORTIVAS Y CAMPOS DE FÚTBOL</v>
      </c>
      <c r="D262" s="10">
        <f ca="1">'1ERA SERVICIOS GENERALES'!B29</f>
        <v>240</v>
      </c>
      <c r="E262" s="10" t="str">
        <f ca="1">'1ERA SERVICIOS GENERALES'!C29</f>
        <v>PODAS EN UNIDADES DEPORTIVAS</v>
      </c>
      <c r="F262" s="10" t="str">
        <f ca="1">'1ERA SERVICIOS GENERALES'!D29</f>
        <v>ASCENDENTE</v>
      </c>
      <c r="G262" s="10" t="str">
        <f ca="1">'1ERA SERVICIOS GENERALES'!E29</f>
        <v>BITACORA OPERATIVA</v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</row>
    <row r="263" spans="1:21" ht="39.75" customHeight="1">
      <c r="A263" s="53"/>
      <c r="B263" s="53"/>
      <c r="C263" s="12" t="str">
        <f ca="1">'1ERA SERVICIOS GENERALES'!A30</f>
        <v>PODAS DE ÁRBOLES</v>
      </c>
      <c r="D263" s="10">
        <f ca="1">'1ERA SERVICIOS GENERALES'!B30</f>
        <v>10</v>
      </c>
      <c r="E263" s="10" t="str">
        <f ca="1">'1ERA SERVICIOS GENERALES'!C30</f>
        <v>PODAS EN ESPACIOS PUBLICOS</v>
      </c>
      <c r="F263" s="10" t="str">
        <f ca="1">'1ERA SERVICIOS GENERALES'!D30</f>
        <v>ASCENDENTE</v>
      </c>
      <c r="G263" s="10" t="str">
        <f ca="1">'1ERA SERVICIOS GENERALES'!E30</f>
        <v>BITACORA OPERATIVA</v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</row>
    <row r="264" spans="1:21" ht="39.75" customHeight="1">
      <c r="A264" s="53"/>
      <c r="B264" s="51"/>
      <c r="C264" s="12" t="str">
        <f ca="1">'1ERA SERVICIOS GENERALES'!A31</f>
        <v>PODAS EN ESCUELAS</v>
      </c>
      <c r="D264" s="10">
        <f ca="1">'1ERA SERVICIOS GENERALES'!B31</f>
        <v>120</v>
      </c>
      <c r="E264" s="10" t="str">
        <f ca="1">'1ERA SERVICIOS GENERALES'!C31</f>
        <v>PODAS A ESCUELAS</v>
      </c>
      <c r="F264" s="10" t="str">
        <f ca="1">'1ERA SERVICIOS GENERALES'!D31</f>
        <v>ASCENDENTE</v>
      </c>
      <c r="G264" s="10" t="str">
        <f ca="1">'1ERA SERVICIOS GENERALES'!E31</f>
        <v>BITACORA OPERATIVA</v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</row>
    <row r="265" spans="1:21" ht="39.75" customHeight="1">
      <c r="A265" s="53"/>
      <c r="B265" s="52" t="s">
        <v>320</v>
      </c>
      <c r="C265" s="12" t="str">
        <f ca="1">'1ERA SERVICIOS GENERALES'!A32</f>
        <v>SACRIFICIO DE RESES</v>
      </c>
      <c r="D265" s="10">
        <f ca="1">'1ERA SERVICIOS GENERALES'!B32</f>
        <v>2400</v>
      </c>
      <c r="E265" s="10" t="str">
        <f ca="1">'1ERA SERVICIOS GENERALES'!C32</f>
        <v>SACRIFICIOS DE RESES</v>
      </c>
      <c r="F265" s="10" t="str">
        <f ca="1">'1ERA SERVICIOS GENERALES'!D32</f>
        <v>ASCENDENTE</v>
      </c>
      <c r="G265" s="10" t="str">
        <f ca="1">'1ERA SERVICIOS GENERALES'!E32</f>
        <v>BITACORA OPERATIVA</v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</row>
    <row r="266" spans="1:21" ht="39.75" customHeight="1">
      <c r="A266" s="53"/>
      <c r="B266" s="53"/>
      <c r="C266" s="12" t="str">
        <f ca="1">'1ERA SERVICIOS GENERALES'!A33</f>
        <v>SACRIFICIOS DE CERDOS</v>
      </c>
      <c r="D266" s="10">
        <f ca="1">'1ERA SERVICIOS GENERALES'!B33</f>
        <v>5760</v>
      </c>
      <c r="E266" s="10" t="str">
        <f ca="1">'1ERA SERVICIOS GENERALES'!C33</f>
        <v>SACRIFICIOS DE CERDOS</v>
      </c>
      <c r="F266" s="10" t="str">
        <f ca="1">'1ERA SERVICIOS GENERALES'!D33</f>
        <v>ASCENDENTE</v>
      </c>
      <c r="G266" s="10" t="str">
        <f ca="1">'1ERA SERVICIOS GENERALES'!E33</f>
        <v>BITACORA OPERATIVA</v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</row>
    <row r="267" spans="1:21" ht="39.75" customHeight="1">
      <c r="A267" s="53"/>
      <c r="B267" s="53"/>
      <c r="C267" s="12" t="str">
        <f ca="1">'1ERA SERVICIOS GENERALES'!A34</f>
        <v>TOTAL DE ANIMALES RESGUARDADOS</v>
      </c>
      <c r="D267" s="10">
        <f ca="1">'1ERA SERVICIOS GENERALES'!B34</f>
        <v>8040</v>
      </c>
      <c r="E267" s="10" t="str">
        <f ca="1">'1ERA SERVICIOS GENERALES'!C34</f>
        <v>ANIMALES RESGUARDADOS</v>
      </c>
      <c r="F267" s="10" t="str">
        <f ca="1">'1ERA SERVICIOS GENERALES'!D34</f>
        <v>ASCENDENTE</v>
      </c>
      <c r="G267" s="10" t="str">
        <f ca="1">'1ERA SERVICIOS GENERALES'!E34</f>
        <v>BITACORA OPERATIVA</v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</row>
    <row r="268" spans="1:21" ht="39.75" customHeight="1">
      <c r="A268" s="53"/>
      <c r="B268" s="53"/>
      <c r="C268" s="12" t="str">
        <f ca="1">'1ERA SERVICIOS GENERALES'!A35</f>
        <v>DECOMISOS (KG)</v>
      </c>
      <c r="D268" s="10">
        <f ca="1">'1ERA SERVICIOS GENERALES'!B35</f>
        <v>12</v>
      </c>
      <c r="E268" s="10" t="str">
        <f ca="1">'1ERA SERVICIOS GENERALES'!C35</f>
        <v>DECOMISOS</v>
      </c>
      <c r="F268" s="10" t="str">
        <f ca="1">'1ERA SERVICIOS GENERALES'!D35</f>
        <v>ASCENDENTE</v>
      </c>
      <c r="G268" s="10" t="str">
        <f ca="1">'1ERA SERVICIOS GENERALES'!E35</f>
        <v>BITACORA OPERATIVA</v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</row>
    <row r="269" spans="1:21" ht="39.75" customHeight="1">
      <c r="A269" s="53"/>
      <c r="B269" s="53"/>
      <c r="C269" s="12" t="str">
        <f ca="1">'1ERA SERVICIOS GENERALES'!A36</f>
        <v>TOTAL DE ANIMALES DECOMISADOS</v>
      </c>
      <c r="D269" s="10">
        <f ca="1">'1ERA SERVICIOS GENERALES'!B36</f>
        <v>1</v>
      </c>
      <c r="E269" s="10" t="str">
        <f ca="1">'1ERA SERVICIOS GENERALES'!C36</f>
        <v>DECOMISOS</v>
      </c>
      <c r="F269" s="10" t="str">
        <f ca="1">'1ERA SERVICIOS GENERALES'!D36</f>
        <v>ASCENDENTE</v>
      </c>
      <c r="G269" s="10" t="str">
        <f ca="1">'1ERA SERVICIOS GENERALES'!E36</f>
        <v>BITACORA OPERATIVA</v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</row>
    <row r="270" spans="1:21" ht="39.75" customHeight="1">
      <c r="A270" s="53"/>
      <c r="B270" s="53"/>
      <c r="C270" s="12" t="str">
        <f ca="1">'1ERA SERVICIOS GENERALES'!A37</f>
        <v>NÚMERO DE REPORTES ATENDIDOS</v>
      </c>
      <c r="D270" s="10">
        <f ca="1">'1ERA SERVICIOS GENERALES'!B37</f>
        <v>1</v>
      </c>
      <c r="E270" s="10" t="str">
        <f ca="1">'1ERA SERVICIOS GENERALES'!C37</f>
        <v>REPORTES ATENDIDOS</v>
      </c>
      <c r="F270" s="10" t="str">
        <f ca="1">'1ERA SERVICIOS GENERALES'!D37</f>
        <v>ASCENDENTE</v>
      </c>
      <c r="G270" s="10" t="str">
        <f ca="1">'1ERA SERVICIOS GENERALES'!E37</f>
        <v>BITACORA OPERATIVA</v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</row>
    <row r="271" spans="1:21" ht="39.75" customHeight="1">
      <c r="A271" s="53"/>
      <c r="B271" s="53"/>
      <c r="C271" s="12" t="str">
        <f ca="1">'1ERA SERVICIOS GENERALES'!A38</f>
        <v>NÚMERO DE INSPECCIONES</v>
      </c>
      <c r="D271" s="10">
        <f ca="1">'1ERA SERVICIOS GENERALES'!B38</f>
        <v>1</v>
      </c>
      <c r="E271" s="10" t="str">
        <f ca="1">'1ERA SERVICIOS GENERALES'!C38</f>
        <v>INSPECCIONES</v>
      </c>
      <c r="F271" s="10" t="str">
        <f ca="1">'1ERA SERVICIOS GENERALES'!D38</f>
        <v>ASCENDENTE</v>
      </c>
      <c r="G271" s="10" t="str">
        <f ca="1">'1ERA SERVICIOS GENERALES'!E38</f>
        <v>BITACORA OPERATIVA</v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</row>
    <row r="272" spans="1:21" ht="39.75" customHeight="1">
      <c r="A272" s="53"/>
      <c r="B272" s="53"/>
      <c r="C272" s="12" t="str">
        <f ca="1">'1ERA SERVICIOS GENERALES'!A39</f>
        <v>OBRADORES</v>
      </c>
      <c r="D272" s="10">
        <f ca="1">'1ERA SERVICIOS GENERALES'!B39</f>
        <v>1</v>
      </c>
      <c r="E272" s="10" t="str">
        <f ca="1">'1ERA SERVICIOS GENERALES'!C39</f>
        <v>OBRADOES</v>
      </c>
      <c r="F272" s="10" t="str">
        <f ca="1">'1ERA SERVICIOS GENERALES'!D39</f>
        <v>ASCENDENTE</v>
      </c>
      <c r="G272" s="10" t="str">
        <f ca="1">'1ERA SERVICIOS GENERALES'!E39</f>
        <v>BITACORA OPERATIVA</v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</row>
    <row r="273" spans="1:21" ht="39.75" customHeight="1">
      <c r="A273" s="53"/>
      <c r="B273" s="53"/>
      <c r="C273" s="12" t="str">
        <f ca="1">'1ERA SERVICIOS GENERALES'!A40</f>
        <v>POLLERIAS</v>
      </c>
      <c r="D273" s="10">
        <f ca="1">'1ERA SERVICIOS GENERALES'!B40</f>
        <v>1</v>
      </c>
      <c r="E273" s="10" t="str">
        <f ca="1">'1ERA SERVICIOS GENERALES'!C40</f>
        <v>POLLERIAS</v>
      </c>
      <c r="F273" s="10" t="str">
        <f ca="1">'1ERA SERVICIOS GENERALES'!D40</f>
        <v>ASCENDENTE</v>
      </c>
      <c r="G273" s="10" t="str">
        <f ca="1">'1ERA SERVICIOS GENERALES'!E40</f>
        <v>BITACORA OPERATIVA</v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</row>
    <row r="274" spans="1:21" ht="39.75" customHeight="1">
      <c r="A274" s="53"/>
      <c r="B274" s="53"/>
      <c r="C274" s="12" t="str">
        <f ca="1">'1ERA SERVICIOS GENERALES'!A41</f>
        <v>CARNICERIAS</v>
      </c>
      <c r="D274" s="10">
        <f ca="1">'1ERA SERVICIOS GENERALES'!B41</f>
        <v>1</v>
      </c>
      <c r="E274" s="10" t="str">
        <f ca="1">'1ERA SERVICIOS GENERALES'!C41</f>
        <v>CARNICERIAS</v>
      </c>
      <c r="F274" s="10" t="str">
        <f ca="1">'1ERA SERVICIOS GENERALES'!D41</f>
        <v>ASCENDENTE</v>
      </c>
      <c r="G274" s="10" t="str">
        <f ca="1">'1ERA SERVICIOS GENERALES'!E41</f>
        <v>BITACORA OPERATIVA</v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</row>
    <row r="275" spans="1:21" ht="39.75" customHeight="1">
      <c r="A275" s="53"/>
      <c r="B275" s="51"/>
      <c r="C275" s="12" t="str">
        <f ca="1">'1ERA SERVICIOS GENERALES'!A42</f>
        <v>TOTAL DE KG DECOMISADOS</v>
      </c>
      <c r="D275" s="10">
        <f ca="1">'1ERA SERVICIOS GENERALES'!B42</f>
        <v>1</v>
      </c>
      <c r="E275" s="10" t="str">
        <f ca="1">'1ERA SERVICIOS GENERALES'!C42</f>
        <v>KILOS DECOMISADOS</v>
      </c>
      <c r="F275" s="10" t="str">
        <f ca="1">'1ERA SERVICIOS GENERALES'!D42</f>
        <v>ASCENDENTE</v>
      </c>
      <c r="G275" s="10" t="str">
        <f ca="1">'1ERA SERVICIOS GENERALES'!E42</f>
        <v>BITACORA OPERATIVA</v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</row>
    <row r="276" spans="1:21" ht="39.75" customHeight="1">
      <c r="A276" s="53"/>
      <c r="B276" s="52" t="s">
        <v>330</v>
      </c>
      <c r="C276" s="12" t="str">
        <f ca="1">'1ERA SERVICIOS GENERALES'!A43</f>
        <v>MANTENIMIENTO DE LUMINARIAS DELEGACIONES Y COMUNIDADES</v>
      </c>
      <c r="D276" s="10">
        <f ca="1">'1ERA SERVICIOS GENERALES'!B43</f>
        <v>960</v>
      </c>
      <c r="E276" s="10" t="str">
        <f ca="1">'1ERA SERVICIOS GENERALES'!C43</f>
        <v>LUMINARIAS REPARADAS EN DELEGACIONES</v>
      </c>
      <c r="F276" s="10" t="str">
        <f ca="1">'1ERA SERVICIOS GENERALES'!D43</f>
        <v>ASCENDENTE</v>
      </c>
      <c r="G276" s="10" t="str">
        <f ca="1">'1ERA SERVICIOS GENERALES'!E43</f>
        <v>BITACORA OPERATIVA</v>
      </c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</row>
    <row r="277" spans="1:21" ht="39.75" customHeight="1">
      <c r="A277" s="53"/>
      <c r="B277" s="53"/>
      <c r="C277" s="12" t="str">
        <f ca="1">'1ERA SERVICIOS GENERALES'!A44</f>
        <v>MANTENIMIENTO DE LUMINARIAS EN CABECERA MUNICIPAL</v>
      </c>
      <c r="D277" s="10">
        <f ca="1">'1ERA SERVICIOS GENERALES'!B44</f>
        <v>1080</v>
      </c>
      <c r="E277" s="10" t="str">
        <f ca="1">'1ERA SERVICIOS GENERALES'!C44</f>
        <v>LUMINARIAS EN CABECERA</v>
      </c>
      <c r="F277" s="10" t="str">
        <f ca="1">'1ERA SERVICIOS GENERALES'!D44</f>
        <v>ASCENDENTE</v>
      </c>
      <c r="G277" s="10" t="str">
        <f ca="1">'1ERA SERVICIOS GENERALES'!E44</f>
        <v>BITACORA OPERATIVA</v>
      </c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</row>
    <row r="278" spans="1:21" ht="39.75" customHeight="1">
      <c r="A278" s="53"/>
      <c r="B278" s="53"/>
      <c r="C278" s="12" t="str">
        <f ca="1">'1ERA SERVICIOS GENERALES'!A45</f>
        <v>INSTALACIÓN DE LÁMPARAS NUEVAS DELEGACIONES Y COMUNIDADES</v>
      </c>
      <c r="D278" s="10">
        <f ca="1">'1ERA SERVICIOS GENERALES'!B45</f>
        <v>84</v>
      </c>
      <c r="E278" s="10" t="str">
        <f ca="1">'1ERA SERVICIOS GENERALES'!C45</f>
        <v>INSTALACION LAMPARAS NUEVAS EN DELEGACIONES</v>
      </c>
      <c r="F278" s="10" t="str">
        <f ca="1">'1ERA SERVICIOS GENERALES'!D45</f>
        <v>ASCENDENTE</v>
      </c>
      <c r="G278" s="10" t="str">
        <f ca="1">'1ERA SERVICIOS GENERALES'!E45</f>
        <v>BITACORA OPERATIVA</v>
      </c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</row>
    <row r="279" spans="1:21" ht="39.75" customHeight="1">
      <c r="A279" s="53"/>
      <c r="B279" s="53"/>
      <c r="C279" s="12" t="str">
        <f ca="1">'1ERA SERVICIOS GENERALES'!A46</f>
        <v>INSTALACIÓN DE LÁMPARAS NUEVAS CABECERA MUNICIPAL</v>
      </c>
      <c r="D279" s="10">
        <f ca="1">'1ERA SERVICIOS GENERALES'!B46</f>
        <v>60</v>
      </c>
      <c r="E279" s="10" t="str">
        <f ca="1">'1ERA SERVICIOS GENERALES'!C46</f>
        <v>INSTALACION LAMPARAS NUEVAS EN CABECERA</v>
      </c>
      <c r="F279" s="10" t="str">
        <f ca="1">'1ERA SERVICIOS GENERALES'!D46</f>
        <v>ASCENDENTE</v>
      </c>
      <c r="G279" s="10" t="str">
        <f ca="1">'1ERA SERVICIOS GENERALES'!E46</f>
        <v>BITACORA OPERATIVA</v>
      </c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</row>
    <row r="280" spans="1:21" ht="39.75" customHeight="1">
      <c r="A280" s="53"/>
      <c r="B280" s="53"/>
      <c r="C280" s="12" t="str">
        <f ca="1">'1ERA SERVICIOS GENERALES'!A47</f>
        <v>NÚMERO DE SOLICITUDES PARA LÁMPARAS NUEVAS</v>
      </c>
      <c r="D280" s="10">
        <f ca="1">'1ERA SERVICIOS GENERALES'!B47</f>
        <v>60</v>
      </c>
      <c r="E280" s="10" t="str">
        <f ca="1">'1ERA SERVICIOS GENERALES'!C47</f>
        <v>SOLICITUDES DE LAMPARAS NUEVAS</v>
      </c>
      <c r="F280" s="10" t="str">
        <f ca="1">'1ERA SERVICIOS GENERALES'!D47</f>
        <v>ASCENDENTE</v>
      </c>
      <c r="G280" s="10" t="str">
        <f ca="1">'1ERA SERVICIOS GENERALES'!E47</f>
        <v>BITACORA OPERATIVA</v>
      </c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</row>
    <row r="281" spans="1:21" ht="39.75" customHeight="1">
      <c r="A281" s="53"/>
      <c r="B281" s="53"/>
      <c r="C281" s="12" t="str">
        <f ca="1">'1ERA SERVICIOS GENERALES'!A48</f>
        <v>censo actual de LUMINARIAS</v>
      </c>
      <c r="D281" s="10">
        <f ca="1">'1ERA SERVICIOS GENERALES'!B48</f>
        <v>17000</v>
      </c>
      <c r="E281" s="10" t="str">
        <f ca="1">'1ERA SERVICIOS GENERALES'!C48</f>
        <v>LAMPARAS INVENTARIADAS</v>
      </c>
      <c r="F281" s="10" t="str">
        <f ca="1">'1ERA SERVICIOS GENERALES'!D48</f>
        <v>ASCENDENTE</v>
      </c>
      <c r="G281" s="10" t="str">
        <f ca="1">'1ERA SERVICIOS GENERALES'!E48</f>
        <v>BITACORA OPERATIVA</v>
      </c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</row>
    <row r="282" spans="1:21" ht="39.75" customHeight="1">
      <c r="A282" s="53"/>
      <c r="B282" s="53"/>
      <c r="C282" s="12" t="str">
        <f ca="1">'1ERA SERVICIOS GENERALES'!A49</f>
        <v>ACTIVIDADES EXTRAS (MANTENIMIENTO ELÉCTRICO DE EDIFICIOS PÚBLICOS, APOYO A EVENTOS)</v>
      </c>
      <c r="D282" s="10">
        <f ca="1">'1ERA SERVICIOS GENERALES'!B49</f>
        <v>480</v>
      </c>
      <c r="E282" s="10" t="str">
        <f ca="1">'1ERA SERVICIOS GENERALES'!C49</f>
        <v>MANTENIMIENTOS EXTRAS</v>
      </c>
      <c r="F282" s="10" t="str">
        <f ca="1">'1ERA SERVICIOS GENERALES'!D49</f>
        <v>ASCENDENTE</v>
      </c>
      <c r="G282" s="10" t="str">
        <f ca="1">'1ERA SERVICIOS GENERALES'!E49</f>
        <v>BITACORA OPERATIVA</v>
      </c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</row>
    <row r="283" spans="1:21" ht="39.75" customHeight="1">
      <c r="A283" s="53"/>
      <c r="B283" s="51"/>
      <c r="C283" s="12" t="str">
        <f ca="1">'1ERA SERVICIOS GENERALES'!A50</f>
        <v>PADRON DE LUMINARIA NO FUNCIONAL(REPORTE CIUDADANO)</v>
      </c>
      <c r="D283" s="10">
        <f ca="1">'1ERA SERVICIOS GENERALES'!B50</f>
        <v>100</v>
      </c>
      <c r="E283" s="10" t="str">
        <f ca="1">'1ERA SERVICIOS GENERALES'!C50</f>
        <v>LUMINARIA QUE NO FUNCIONA</v>
      </c>
      <c r="F283" s="10" t="str">
        <f ca="1">'1ERA SERVICIOS GENERALES'!D50</f>
        <v>ASCENDENTE</v>
      </c>
      <c r="G283" s="10" t="str">
        <f ca="1">'1ERA SERVICIOS GENERALES'!E50</f>
        <v>BITACORA OPERATIVA</v>
      </c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</row>
    <row r="284" spans="1:21" ht="39.75" customHeight="1">
      <c r="A284" s="53"/>
      <c r="B284" s="52" t="s">
        <v>339</v>
      </c>
      <c r="C284" s="12" t="str">
        <f ca="1">'1ERA SERVICIOS GENERALES'!A51</f>
        <v>VIGILANCIA EN VERTEDERO MUNICIPAL (TONELADAS VERTIDAS POR MES)</v>
      </c>
      <c r="D284" s="10">
        <f ca="1">'1ERA SERVICIOS GENERALES'!B51</f>
        <v>1600</v>
      </c>
      <c r="E284" s="10" t="str">
        <f ca="1">'1ERA SERVICIOS GENERALES'!C51</f>
        <v>VIGILANCIA EN EL VERTEDERO</v>
      </c>
      <c r="F284" s="10" t="str">
        <f ca="1">'1ERA SERVICIOS GENERALES'!D51</f>
        <v>ASCENDENTE</v>
      </c>
      <c r="G284" s="10" t="str">
        <f ca="1">'1ERA SERVICIOS GENERALES'!E51</f>
        <v>BITACORA OPERATIVA</v>
      </c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</row>
    <row r="285" spans="1:21" ht="39.75" customHeight="1">
      <c r="A285" s="53"/>
      <c r="B285" s="53"/>
      <c r="C285" s="12" t="str">
        <f ca="1">'1ERA SERVICIOS GENERALES'!A52</f>
        <v>NÚMERO DE CALLES ASEADAS</v>
      </c>
      <c r="D285" s="10">
        <f ca="1">'1ERA SERVICIOS GENERALES'!B52</f>
        <v>1704000</v>
      </c>
      <c r="E285" s="10" t="str">
        <f ca="1">'1ERA SERVICIOS GENERALES'!C52</f>
        <v>CALLES ASCEADAS</v>
      </c>
      <c r="F285" s="10" t="str">
        <f ca="1">'1ERA SERVICIOS GENERALES'!D52</f>
        <v>ASCENDENTE</v>
      </c>
      <c r="G285" s="10" t="str">
        <f ca="1">'1ERA SERVICIOS GENERALES'!E52</f>
        <v>BITACORA OPERATIVA</v>
      </c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</row>
    <row r="286" spans="1:21" ht="39.75" customHeight="1">
      <c r="A286" s="53"/>
      <c r="B286" s="51"/>
      <c r="C286" s="12" t="str">
        <f ca="1">'1ERA SERVICIOS GENERALES'!A53</f>
        <v>TONELADAS RECOLECTADAS</v>
      </c>
      <c r="D286" s="10">
        <f ca="1">'1ERA SERVICIOS GENERALES'!B53</f>
        <v>300</v>
      </c>
      <c r="E286" s="10" t="str">
        <f ca="1">'1ERA SERVICIOS GENERALES'!C53</f>
        <v>TONELADAS RECOLECTADAS</v>
      </c>
      <c r="F286" s="10" t="str">
        <f ca="1">'1ERA SERVICIOS GENERALES'!D53</f>
        <v>ASCENDENTE</v>
      </c>
      <c r="G286" s="10" t="str">
        <f ca="1">'1ERA SERVICIOS GENERALES'!E53</f>
        <v>BITACORA OPERATIVA</v>
      </c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</row>
    <row r="287" spans="1:21" ht="39.75" customHeight="1">
      <c r="A287" s="53"/>
      <c r="B287" s="52" t="s">
        <v>343</v>
      </c>
      <c r="C287" s="12" t="str">
        <f ca="1">'1ERA SERVICIOS GENERALES'!A54</f>
        <v>REPARACIÓN DE SUSPENSIONES</v>
      </c>
      <c r="D287" s="10">
        <f ca="1">'1ERA SERVICIOS GENERALES'!B54</f>
        <v>84000</v>
      </c>
      <c r="E287" s="10" t="str">
        <f ca="1">'1ERA SERVICIOS GENERALES'!C54</f>
        <v>REPARACIONES</v>
      </c>
      <c r="F287" s="10" t="str">
        <f ca="1">'1ERA SERVICIOS GENERALES'!D54</f>
        <v>ASCENDENTE</v>
      </c>
      <c r="G287" s="10" t="str">
        <f ca="1">'1ERA SERVICIOS GENERALES'!E54</f>
        <v>BITACORA OPERATIVA</v>
      </c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</row>
    <row r="288" spans="1:21" ht="39.75" customHeight="1">
      <c r="A288" s="53"/>
      <c r="B288" s="53"/>
      <c r="C288" s="12" t="str">
        <f ca="1">'1ERA SERVICIOS GENERALES'!A55</f>
        <v>REPARACIONES VARIAS</v>
      </c>
      <c r="D288" s="10">
        <f ca="1">'1ERA SERVICIOS GENERALES'!B55</f>
        <v>144</v>
      </c>
      <c r="E288" s="10" t="str">
        <f ca="1">'1ERA SERVICIOS GENERALES'!C55</f>
        <v>REPARACIONES</v>
      </c>
      <c r="F288" s="10" t="str">
        <f ca="1">'1ERA SERVICIOS GENERALES'!D55</f>
        <v>ASCENDENTE</v>
      </c>
      <c r="G288" s="10" t="str">
        <f ca="1">'1ERA SERVICIOS GENERALES'!E55</f>
        <v>BITACORA OPERATIVA</v>
      </c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</row>
    <row r="289" spans="1:21" ht="39.75" customHeight="1">
      <c r="A289" s="53"/>
      <c r="B289" s="53"/>
      <c r="C289" s="12" t="str">
        <f ca="1">'1ERA SERVICIOS GENERALES'!A56</f>
        <v>REVISIÓN DE NIVELES (DIARIO)</v>
      </c>
      <c r="D289" s="10">
        <f ca="1">'1ERA SERVICIOS GENERALES'!B56</f>
        <v>144</v>
      </c>
      <c r="E289" s="10" t="str">
        <f ca="1">'1ERA SERVICIOS GENERALES'!C56</f>
        <v>REVISIONES</v>
      </c>
      <c r="F289" s="10" t="str">
        <f ca="1">'1ERA SERVICIOS GENERALES'!D56</f>
        <v>ASCENDENTE</v>
      </c>
      <c r="G289" s="10" t="str">
        <f ca="1">'1ERA SERVICIOS GENERALES'!E56</f>
        <v>BITACORA OPERATIVA</v>
      </c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</row>
    <row r="290" spans="1:21" ht="39.75" customHeight="1">
      <c r="A290" s="53"/>
      <c r="B290" s="53"/>
      <c r="C290" s="12" t="str">
        <f ca="1">'1ERA SERVICIOS GENERALES'!A57</f>
        <v>REPARACIONES ELÉCTRICAS</v>
      </c>
      <c r="D290" s="10">
        <f ca="1">'1ERA SERVICIOS GENERALES'!B57</f>
        <v>192</v>
      </c>
      <c r="E290" s="10" t="str">
        <f ca="1">'1ERA SERVICIOS GENERALES'!C57</f>
        <v xml:space="preserve">REPARACIONES </v>
      </c>
      <c r="F290" s="10" t="str">
        <f ca="1">'1ERA SERVICIOS GENERALES'!D57</f>
        <v>ASCENDENTE</v>
      </c>
      <c r="G290" s="10" t="str">
        <f ca="1">'1ERA SERVICIOS GENERALES'!E57</f>
        <v>BITACORA OPERATIVA</v>
      </c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</row>
    <row r="291" spans="1:21" ht="39.75" customHeight="1">
      <c r="A291" s="53"/>
      <c r="B291" s="53"/>
      <c r="C291" s="12" t="str">
        <f ca="1">'1ERA SERVICIOS GENERALES'!A58</f>
        <v>REPARACION DE VEHICULOS EN TALLER MUNICIPAL</v>
      </c>
      <c r="D291" s="10">
        <f ca="1">'1ERA SERVICIOS GENERALES'!B58</f>
        <v>240</v>
      </c>
      <c r="E291" s="10" t="str">
        <f ca="1">'1ERA SERVICIOS GENERALES'!C58</f>
        <v>REPARACIONES</v>
      </c>
      <c r="F291" s="10" t="str">
        <f ca="1">'1ERA SERVICIOS GENERALES'!D58</f>
        <v>ASCENDENTE</v>
      </c>
      <c r="G291" s="10" t="str">
        <f ca="1">'1ERA SERVICIOS GENERALES'!E58</f>
        <v>BITACORA OPERATIVA</v>
      </c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</row>
    <row r="292" spans="1:21" ht="39.75" customHeight="1">
      <c r="A292" s="53"/>
      <c r="B292" s="53"/>
      <c r="C292" s="12" t="str">
        <f ca="1">'1ERA SERVICIOS GENERALES'!A59</f>
        <v>CANALIZACIÓN A TALLERES EXTERNOS (SUBROGADOS)</v>
      </c>
      <c r="D292" s="10">
        <f ca="1">'1ERA SERVICIOS GENERALES'!B59</f>
        <v>1020</v>
      </c>
      <c r="E292" s="10" t="str">
        <f ca="1">'1ERA SERVICIOS GENERALES'!C59</f>
        <v>CANALIZACIONES A OTROS TALLERES</v>
      </c>
      <c r="F292" s="10" t="str">
        <f ca="1">'1ERA SERVICIOS GENERALES'!D59</f>
        <v>ASCENDENTE</v>
      </c>
      <c r="G292" s="10" t="str">
        <f ca="1">'1ERA SERVICIOS GENERALES'!E59</f>
        <v>BITACORA OPERATIVA</v>
      </c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</row>
    <row r="293" spans="1:21" ht="39.75" customHeight="1">
      <c r="A293" s="53"/>
      <c r="B293" s="53"/>
      <c r="C293" s="12" t="str">
        <f ca="1">'1ERA SERVICIOS GENERALES'!A60</f>
        <v>AFINACIONES</v>
      </c>
      <c r="D293" s="10">
        <f ca="1">'1ERA SERVICIOS GENERALES'!B60</f>
        <v>660</v>
      </c>
      <c r="E293" s="10" t="str">
        <f ca="1">'1ERA SERVICIOS GENERALES'!C60</f>
        <v>AFINACIONES</v>
      </c>
      <c r="F293" s="10" t="str">
        <f ca="1">'1ERA SERVICIOS GENERALES'!D60</f>
        <v>ASCENDENTE</v>
      </c>
      <c r="G293" s="10" t="str">
        <f ca="1">'1ERA SERVICIOS GENERALES'!E60</f>
        <v>BITACORA OPERATIVA</v>
      </c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</row>
    <row r="294" spans="1:21" ht="39.75" customHeight="1">
      <c r="A294" s="53"/>
      <c r="B294" s="53"/>
      <c r="C294" s="12" t="str">
        <f ca="1">'1ERA SERVICIOS GENERALES'!A61</f>
        <v>CAMBIO DE TAMBORES</v>
      </c>
      <c r="D294" s="10">
        <f ca="1">'1ERA SERVICIOS GENERALES'!B61</f>
        <v>120</v>
      </c>
      <c r="E294" s="10" t="str">
        <f ca="1">'1ERA SERVICIOS GENERALES'!C61</f>
        <v>CAMBIOS DE TAMBORES</v>
      </c>
      <c r="F294" s="10" t="str">
        <f ca="1">'1ERA SERVICIOS GENERALES'!D61</f>
        <v>ASCENDENTE</v>
      </c>
      <c r="G294" s="10" t="str">
        <f ca="1">'1ERA SERVICIOS GENERALES'!E61</f>
        <v>BITACORA OPERATIVA</v>
      </c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</row>
    <row r="295" spans="1:21" ht="39.75" customHeight="1">
      <c r="A295" s="53"/>
      <c r="B295" s="53"/>
      <c r="C295" s="12" t="str">
        <f ca="1">'1ERA SERVICIOS GENERALES'!A62</f>
        <v>CAMBIO DE BALATAS</v>
      </c>
      <c r="D295" s="10">
        <f ca="1">'1ERA SERVICIOS GENERALES'!B62</f>
        <v>3</v>
      </c>
      <c r="E295" s="10" t="str">
        <f ca="1">'1ERA SERVICIOS GENERALES'!C62</f>
        <v>CAMBIOS DE BALATAS</v>
      </c>
      <c r="F295" s="10" t="str">
        <f ca="1">'1ERA SERVICIOS GENERALES'!D62</f>
        <v>ASCENDENTE</v>
      </c>
      <c r="G295" s="10" t="str">
        <f ca="1">'1ERA SERVICIOS GENERALES'!E62</f>
        <v>BITACORA OPERATIVA</v>
      </c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</row>
    <row r="296" spans="1:21" ht="39.75" customHeight="1">
      <c r="A296" s="53"/>
      <c r="B296" s="53"/>
      <c r="C296" s="12" t="str">
        <f ca="1">'1ERA SERVICIOS GENERALES'!A63</f>
        <v>REPARACIÓN DE EQUIPOS DE JARDINERÍA (DESBROZADORAS, MOTOBOMBAS, MOTOSIERRAS, ETC.)</v>
      </c>
      <c r="D296" s="10">
        <f ca="1">'1ERA SERVICIOS GENERALES'!B63</f>
        <v>60</v>
      </c>
      <c r="E296" s="10" t="str">
        <f ca="1">'1ERA SERVICIOS GENERALES'!C63</f>
        <v>REPARACIONES</v>
      </c>
      <c r="F296" s="10" t="str">
        <f ca="1">'1ERA SERVICIOS GENERALES'!D63</f>
        <v>ASCENDENTE</v>
      </c>
      <c r="G296" s="10" t="str">
        <f ca="1">'1ERA SERVICIOS GENERALES'!E63</f>
        <v>BITACORA OPERATIVA</v>
      </c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</row>
    <row r="297" spans="1:21" ht="39.75" customHeight="1">
      <c r="A297" s="53"/>
      <c r="B297" s="51"/>
      <c r="C297" s="12" t="str">
        <f ca="1">'1ERA SERVICIOS GENERALES'!A64</f>
        <v>RECARGAS DE ACEITE</v>
      </c>
      <c r="D297" s="10">
        <f ca="1">'1ERA SERVICIOS GENERALES'!B64</f>
        <v>600</v>
      </c>
      <c r="E297" s="10" t="str">
        <f ca="1">'1ERA SERVICIOS GENERALES'!C64</f>
        <v>RECARGAS DE ACEITE</v>
      </c>
      <c r="F297" s="10" t="str">
        <f ca="1">'1ERA SERVICIOS GENERALES'!D64</f>
        <v>ASCENDENTE</v>
      </c>
      <c r="G297" s="10" t="str">
        <f ca="1">'1ERA SERVICIOS GENERALES'!E64</f>
        <v>BITACORA OPERATIVA</v>
      </c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</row>
    <row r="298" spans="1:21" ht="39.75" customHeight="1">
      <c r="A298" s="53"/>
      <c r="B298" s="52" t="s">
        <v>350</v>
      </c>
      <c r="C298" s="12" t="str">
        <f ca="1">'1ERA SERVICIOS GENERALES'!A65</f>
        <v>INSTALACIÓN DE TABLAROCA M2</v>
      </c>
      <c r="D298" s="10">
        <f ca="1">'1ERA SERVICIOS GENERALES'!B65</f>
        <v>84</v>
      </c>
      <c r="E298" s="10" t="str">
        <f ca="1">'1ERA SERVICIOS GENERALES'!C65</f>
        <v>M2 INSTALADOS</v>
      </c>
      <c r="F298" s="10" t="str">
        <f ca="1">'1ERA SERVICIOS GENERALES'!D65</f>
        <v>ASCENDENTE</v>
      </c>
      <c r="G298" s="10" t="str">
        <f ca="1">'1ERA SERVICIOS GENERALES'!E65</f>
        <v>BITACORA OPERATIVA</v>
      </c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</row>
    <row r="299" spans="1:21" ht="39.75" customHeight="1">
      <c r="A299" s="53"/>
      <c r="B299" s="53"/>
      <c r="C299" s="12" t="str">
        <f ca="1">'1ERA SERVICIOS GENERALES'!A66</f>
        <v>CALLES  BACHEADAS (NO. BACHES)</v>
      </c>
      <c r="D299" s="10">
        <f ca="1">'1ERA SERVICIOS GENERALES'!B66</f>
        <v>15</v>
      </c>
      <c r="E299" s="10" t="str">
        <f ca="1">'1ERA SERVICIOS GENERALES'!C66</f>
        <v>M2 BACHEADS</v>
      </c>
      <c r="F299" s="10" t="str">
        <f ca="1">'1ERA SERVICIOS GENERALES'!D66</f>
        <v>ASCENDENTE</v>
      </c>
      <c r="G299" s="10" t="str">
        <f ca="1">'1ERA SERVICIOS GENERALES'!E66</f>
        <v>BITACORA OPERATIVA</v>
      </c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</row>
    <row r="300" spans="1:21" ht="39.75" customHeight="1">
      <c r="A300" s="53"/>
      <c r="B300" s="53"/>
      <c r="C300" s="12" t="str">
        <f ca="1">'1ERA SERVICIOS GENERALES'!A67</f>
        <v>CARRETERAS BACHEADAS (NO. BACHES)</v>
      </c>
      <c r="D300" s="10">
        <f ca="1">'1ERA SERVICIOS GENERALES'!B67</f>
        <v>9000</v>
      </c>
      <c r="E300" s="10" t="str">
        <f ca="1">'1ERA SERVICIOS GENERALES'!C67</f>
        <v>M2 DE CARRETERA BACHEADOS</v>
      </c>
      <c r="F300" s="10" t="str">
        <f ca="1">'1ERA SERVICIOS GENERALES'!D67</f>
        <v>ASCENDENTE</v>
      </c>
      <c r="G300" s="10" t="str">
        <f ca="1">'1ERA SERVICIOS GENERALES'!E67</f>
        <v>BITACORA OPERATIVA</v>
      </c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</row>
    <row r="301" spans="1:21" ht="39.75" customHeight="1">
      <c r="A301" s="53"/>
      <c r="B301" s="53"/>
      <c r="C301" s="12" t="str">
        <f ca="1">'1ERA SERVICIOS GENERALES'!A68</f>
        <v>NÚMERO DE ASFALTO APLICADO (TONELADAS)</v>
      </c>
      <c r="D301" s="10">
        <f ca="1">'1ERA SERVICIOS GENERALES'!B68</f>
        <v>9699</v>
      </c>
      <c r="E301" s="10" t="str">
        <f ca="1">'1ERA SERVICIOS GENERALES'!C68</f>
        <v>ASFALTO APLICADO</v>
      </c>
      <c r="F301" s="10" t="str">
        <f ca="1">'1ERA SERVICIOS GENERALES'!D68</f>
        <v>ASCENDENTE</v>
      </c>
      <c r="G301" s="10" t="str">
        <f ca="1">'1ERA SERVICIOS GENERALES'!E68</f>
        <v>BITACORA OPERATIVA</v>
      </c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</row>
    <row r="302" spans="1:21" ht="39.75" customHeight="1">
      <c r="A302" s="53"/>
      <c r="B302" s="53"/>
      <c r="C302" s="12" t="str">
        <f ca="1">'1ERA SERVICIOS GENERALES'!A69</f>
        <v>INSTALACIÓN DE POSTES PARA LÁMPARAS</v>
      </c>
      <c r="D302" s="10">
        <f ca="1">'1ERA SERVICIOS GENERALES'!B69</f>
        <v>600</v>
      </c>
      <c r="E302" s="10" t="str">
        <f ca="1">'1ERA SERVICIOS GENERALES'!C69</f>
        <v>POSTES INSTALADOS</v>
      </c>
      <c r="F302" s="10" t="str">
        <f ca="1">'1ERA SERVICIOS GENERALES'!D69</f>
        <v>ASCENDENTE</v>
      </c>
      <c r="G302" s="10" t="str">
        <f ca="1">'1ERA SERVICIOS GENERALES'!E69</f>
        <v>BITACORA OPERATIVA</v>
      </c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</row>
    <row r="303" spans="1:21" ht="39.75" customHeight="1">
      <c r="A303" s="53"/>
      <c r="B303" s="53"/>
      <c r="C303" s="12" t="str">
        <f ca="1">'1ERA SERVICIOS GENERALES'!A70</f>
        <v>FUMIGACION EN CALLES</v>
      </c>
      <c r="D303" s="10">
        <f ca="1">'1ERA SERVICIOS GENERALES'!B70</f>
        <v>120</v>
      </c>
      <c r="E303" s="10" t="str">
        <f ca="1">'1ERA SERVICIOS GENERALES'!C70</f>
        <v>FUMIGACIONES</v>
      </c>
      <c r="F303" s="10" t="str">
        <f ca="1">'1ERA SERVICIOS GENERALES'!D70</f>
        <v>ASCENDENTE</v>
      </c>
      <c r="G303" s="10" t="str">
        <f ca="1">'1ERA SERVICIOS GENERALES'!E70</f>
        <v>BITACORA OPERATIVA</v>
      </c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</row>
    <row r="304" spans="1:21" ht="39.75" customHeight="1">
      <c r="A304" s="53"/>
      <c r="B304" s="53"/>
      <c r="C304" s="12" t="str">
        <f ca="1">'1ERA SERVICIOS GENERALES'!A71</f>
        <v>FUMIGACION EN EDIFICIOS Y PLAZAS PÚBLICOS</v>
      </c>
      <c r="D304" s="10">
        <f ca="1">'1ERA SERVICIOS GENERALES'!B71</f>
        <v>50</v>
      </c>
      <c r="E304" s="10" t="str">
        <f ca="1">'1ERA SERVICIOS GENERALES'!C71</f>
        <v>FUMIGACIONES</v>
      </c>
      <c r="F304" s="10" t="str">
        <f ca="1">'1ERA SERVICIOS GENERALES'!D71</f>
        <v>ASCENDENTE</v>
      </c>
      <c r="G304" s="10" t="str">
        <f ca="1">'1ERA SERVICIOS GENERALES'!E71</f>
        <v>BITACORA OPERATIVA</v>
      </c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</row>
    <row r="305" spans="1:21" ht="39.75" customHeight="1">
      <c r="A305" s="53"/>
      <c r="B305" s="53"/>
      <c r="C305" s="12" t="str">
        <f ca="1">'1ERA SERVICIOS GENERALES'!A72</f>
        <v>IMPERMEABILIZACIONES EN EDIFICIOS PÚBLICOS</v>
      </c>
      <c r="D305" s="10">
        <f ca="1">'1ERA SERVICIOS GENERALES'!B72</f>
        <v>30</v>
      </c>
      <c r="E305" s="10" t="str">
        <f ca="1">'1ERA SERVICIOS GENERALES'!C72</f>
        <v>IMPERMIABILIZACIONES</v>
      </c>
      <c r="F305" s="10" t="str">
        <f ca="1">'1ERA SERVICIOS GENERALES'!D72</f>
        <v>ASCENDENTE</v>
      </c>
      <c r="G305" s="10" t="str">
        <f ca="1">'1ERA SERVICIOS GENERALES'!E72</f>
        <v>BITACORA OPERATIVA</v>
      </c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</row>
    <row r="306" spans="1:21" ht="39.75" customHeight="1">
      <c r="A306" s="53"/>
      <c r="B306" s="53"/>
      <c r="C306" s="12" t="str">
        <f ca="1">'1ERA SERVICIOS GENERALES'!A73</f>
        <v>IMPERMEABILIZACIONES EN ESCUELAS</v>
      </c>
      <c r="D306" s="10">
        <f ca="1">'1ERA SERVICIOS GENERALES'!B73</f>
        <v>15</v>
      </c>
      <c r="E306" s="10" t="str">
        <f ca="1">'1ERA SERVICIOS GENERALES'!C73</f>
        <v>ESCUELAS IMPERMIABILIZADAS</v>
      </c>
      <c r="F306" s="10" t="str">
        <f ca="1">'1ERA SERVICIOS GENERALES'!D73</f>
        <v>ASCENDENTE</v>
      </c>
      <c r="G306" s="10" t="str">
        <f ca="1">'1ERA SERVICIOS GENERALES'!E73</f>
        <v>BITACORA OPERATIVA</v>
      </c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</row>
    <row r="307" spans="1:21" ht="39.75" customHeight="1">
      <c r="A307" s="53"/>
      <c r="B307" s="53"/>
      <c r="C307" s="12" t="str">
        <f ca="1">'1ERA SERVICIOS GENERALES'!A74</f>
        <v>ACCIONES DE INTERVENCION CON PINTUR A UNIDADES DEPORTIVAS</v>
      </c>
      <c r="D307" s="10">
        <f ca="1">'1ERA SERVICIOS GENERALES'!B74</f>
        <v>15</v>
      </c>
      <c r="E307" s="10" t="str">
        <f ca="1">'1ERA SERVICIOS GENERALES'!C74</f>
        <v>INTERVENCIONES</v>
      </c>
      <c r="F307" s="10" t="str">
        <f ca="1">'1ERA SERVICIOS GENERALES'!D74</f>
        <v>ASCENDENTE</v>
      </c>
      <c r="G307" s="10" t="str">
        <f ca="1">'1ERA SERVICIOS GENERALES'!E74</f>
        <v>BITACORA OPERATIVA</v>
      </c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</row>
    <row r="308" spans="1:21" ht="39.75" customHeight="1">
      <c r="A308" s="53"/>
      <c r="B308" s="53"/>
      <c r="C308" s="12" t="str">
        <f ca="1">'1ERA SERVICIOS GENERALES'!A75</f>
        <v>ACCIONES DE INTERVENCION CON PINTURA A OFICINAS Y FACHADAS DE EDIFICIOS PÚBLICOS</v>
      </c>
      <c r="D308" s="10">
        <f ca="1">'1ERA SERVICIOS GENERALES'!B75</f>
        <v>12</v>
      </c>
      <c r="E308" s="10" t="str">
        <f ca="1">'1ERA SERVICIOS GENERALES'!C75</f>
        <v>INTERVENCIONES</v>
      </c>
      <c r="F308" s="10" t="str">
        <f ca="1">'1ERA SERVICIOS GENERALES'!D75</f>
        <v>ASCENDENTE</v>
      </c>
      <c r="G308" s="10" t="str">
        <f ca="1">'1ERA SERVICIOS GENERALES'!E75</f>
        <v>BITACORA OPERATIVA</v>
      </c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</row>
    <row r="309" spans="1:21" ht="39.75" customHeight="1">
      <c r="A309" s="53"/>
      <c r="B309" s="53"/>
      <c r="C309" s="12" t="str">
        <f ca="1">'1ERA SERVICIOS GENERALES'!A76</f>
        <v>ACCIONES DE INTERVENCION CON PINTURA PLAZAS PÚBLICAS</v>
      </c>
      <c r="D309" s="10">
        <f ca="1">'1ERA SERVICIOS GENERALES'!B76</f>
        <v>60</v>
      </c>
      <c r="E309" s="10" t="str">
        <f ca="1">'1ERA SERVICIOS GENERALES'!C76</f>
        <v>INTERVENCIONES</v>
      </c>
      <c r="F309" s="10" t="str">
        <f ca="1">'1ERA SERVICIOS GENERALES'!D76</f>
        <v>ASCENDENTE</v>
      </c>
      <c r="G309" s="10" t="str">
        <f ca="1">'1ERA SERVICIOS GENERALES'!E76</f>
        <v>BITACORA OPERATIVA</v>
      </c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</row>
    <row r="310" spans="1:21" ht="39.75" customHeight="1">
      <c r="A310" s="53"/>
      <c r="B310" s="53"/>
      <c r="C310" s="12" t="str">
        <f ca="1">'1ERA SERVICIOS GENERALES'!A77</f>
        <v>ACCIONES DE INTERVENCION CON PINTURA A  PARQUES</v>
      </c>
      <c r="D310" s="10">
        <f ca="1">'1ERA SERVICIOS GENERALES'!B77</f>
        <v>73</v>
      </c>
      <c r="E310" s="10" t="str">
        <f ca="1">'1ERA SERVICIOS GENERALES'!C77</f>
        <v>INTERVENCIONES</v>
      </c>
      <c r="F310" s="10" t="str">
        <f ca="1">'1ERA SERVICIOS GENERALES'!D77</f>
        <v>ASCENDENTE</v>
      </c>
      <c r="G310" s="10" t="str">
        <f ca="1">'1ERA SERVICIOS GENERALES'!E77</f>
        <v>BITACORA OPERATIVA</v>
      </c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</row>
    <row r="311" spans="1:21" ht="39.75" customHeight="1">
      <c r="A311" s="53"/>
      <c r="B311" s="53"/>
      <c r="C311" s="12" t="str">
        <f ca="1">'1ERA SERVICIOS GENERALES'!A78</f>
        <v>ACCIONES DE INTERVENCION CON PINTUR A A ESCUELAS</v>
      </c>
      <c r="D311" s="10">
        <f ca="1">'1ERA SERVICIOS GENERALES'!B78</f>
        <v>15</v>
      </c>
      <c r="E311" s="10" t="str">
        <f ca="1">'1ERA SERVICIOS GENERALES'!C78</f>
        <v>INTERVENCIONES</v>
      </c>
      <c r="F311" s="10" t="str">
        <f ca="1">'1ERA SERVICIOS GENERALES'!D78</f>
        <v>ASCENDENTE</v>
      </c>
      <c r="G311" s="10" t="str">
        <f ca="1">'1ERA SERVICIOS GENERALES'!E78</f>
        <v>BITACORA OPERATIVA</v>
      </c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</row>
    <row r="312" spans="1:21" ht="39.75" customHeight="1">
      <c r="A312" s="53"/>
      <c r="B312" s="53"/>
      <c r="C312" s="12" t="str">
        <f ca="1">'1ERA SERVICIOS GENERALES'!A79</f>
        <v>PINTURA (M2) APLICADA</v>
      </c>
      <c r="D312" s="10">
        <f ca="1">'1ERA SERVICIOS GENERALES'!B79</f>
        <v>1000</v>
      </c>
      <c r="E312" s="10" t="str">
        <f ca="1">'1ERA SERVICIOS GENERALES'!C79</f>
        <v>M2 PINTURA APLICADA</v>
      </c>
      <c r="F312" s="10" t="str">
        <f ca="1">'1ERA SERVICIOS GENERALES'!D79</f>
        <v>ASCENDENTE</v>
      </c>
      <c r="G312" s="10" t="str">
        <f ca="1">'1ERA SERVICIOS GENERALES'!E79</f>
        <v>BITACORA OPERATIVA</v>
      </c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</row>
    <row r="313" spans="1:21" ht="39.75" customHeight="1">
      <c r="A313" s="53"/>
      <c r="B313" s="53"/>
      <c r="C313" s="12" t="str">
        <f ca="1">'1ERA SERVICIOS GENERALES'!A80</f>
        <v>ACCIONES DE MANTENIMIENTO A UNIDADES DEPORTIVAS Y CAMPOS DE FÚTBOL EN LA CABECERA MUNICIPAL</v>
      </c>
      <c r="D313" s="10">
        <f ca="1">'1ERA SERVICIOS GENERALES'!B80</f>
        <v>120</v>
      </c>
      <c r="E313" s="10" t="str">
        <f ca="1">'1ERA SERVICIOS GENERALES'!C80</f>
        <v>ACCIONES DE MANTENIMIENTO</v>
      </c>
      <c r="F313" s="10" t="str">
        <f ca="1">'1ERA SERVICIOS GENERALES'!D80</f>
        <v>ASCENDENTE</v>
      </c>
      <c r="G313" s="10" t="str">
        <f ca="1">'1ERA SERVICIOS GENERALES'!E80</f>
        <v>BITACORA OPERATIVA</v>
      </c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</row>
    <row r="314" spans="1:21" ht="39.75" customHeight="1">
      <c r="A314" s="53"/>
      <c r="B314" s="53"/>
      <c r="C314" s="12" t="str">
        <f ca="1">'1ERA SERVICIOS GENERALES'!A81</f>
        <v>ACCIONES DE MANTENIMIENTO A PLAZAS PÚBLICAS</v>
      </c>
      <c r="D314" s="10">
        <f ca="1">'1ERA SERVICIOS GENERALES'!B81</f>
        <v>1380</v>
      </c>
      <c r="E314" s="10" t="str">
        <f ca="1">'1ERA SERVICIOS GENERALES'!C81</f>
        <v>ACCIONES DE MANTENIMIENTO</v>
      </c>
      <c r="F314" s="10" t="str">
        <f ca="1">'1ERA SERVICIOS GENERALES'!D81</f>
        <v>ASCENDENTE</v>
      </c>
      <c r="G314" s="10" t="str">
        <f ca="1">'1ERA SERVICIOS GENERALES'!E81</f>
        <v>BITACORA OPERATIVA</v>
      </c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</row>
    <row r="315" spans="1:21" ht="39.75" customHeight="1">
      <c r="A315" s="53"/>
      <c r="B315" s="51"/>
      <c r="C315" s="12" t="str">
        <f ca="1">'1ERA SERVICIOS GENERALES'!A82</f>
        <v>ACCIONES DE MANTENIMIENTO A EDIFICIOS PÚBLICOS</v>
      </c>
      <c r="D315" s="10">
        <f ca="1">'1ERA SERVICIOS GENERALES'!B82</f>
        <v>12</v>
      </c>
      <c r="E315" s="10" t="str">
        <f ca="1">'1ERA SERVICIOS GENERALES'!C82</f>
        <v>ACCIONES DE MANTENIMIENTO</v>
      </c>
      <c r="F315" s="10" t="str">
        <f ca="1">'1ERA SERVICIOS GENERALES'!D82</f>
        <v>ASCENDENTE</v>
      </c>
      <c r="G315" s="10" t="str">
        <f ca="1">'1ERA SERVICIOS GENERALES'!E82</f>
        <v>BITACORA OPERATIVA</v>
      </c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</row>
    <row r="316" spans="1:21" ht="39.75" customHeight="1">
      <c r="A316" s="53"/>
      <c r="B316" s="52" t="s">
        <v>362</v>
      </c>
      <c r="C316" s="12" t="str">
        <f ca="1">'1ERA SERVICIOS GENERALES'!A83</f>
        <v>SACRIFICIO HUMANITARIO DE PERROS Y GATOS</v>
      </c>
      <c r="D316" s="10">
        <f ca="1">'1ERA SERVICIOS GENERALES'!B83</f>
        <v>60</v>
      </c>
      <c r="E316" s="10" t="str">
        <f ca="1">'1ERA SERVICIOS GENERALES'!C83</f>
        <v>SACRIFICIOS</v>
      </c>
      <c r="F316" s="10" t="str">
        <f ca="1">'1ERA SERVICIOS GENERALES'!D83</f>
        <v>ASCENDENTE</v>
      </c>
      <c r="G316" s="10" t="str">
        <f ca="1">'1ERA SERVICIOS GENERALES'!E83</f>
        <v>BITACORA OPERATIVA</v>
      </c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</row>
    <row r="317" spans="1:21" ht="39.75" customHeight="1">
      <c r="A317" s="53"/>
      <c r="B317" s="53"/>
      <c r="C317" s="12" t="str">
        <f ca="1">'1ERA SERVICIOS GENERALES'!A84</f>
        <v>ANIMALES EN RESGUARDO EN UNIDAD DE CONTROL CANINO</v>
      </c>
      <c r="D317" s="10">
        <f ca="1">'1ERA SERVICIOS GENERALES'!B84</f>
        <v>240</v>
      </c>
      <c r="E317" s="10" t="str">
        <f ca="1">'1ERA SERVICIOS GENERALES'!C84</f>
        <v>ANIMALES RESGUARDADOS</v>
      </c>
      <c r="F317" s="10" t="str">
        <f ca="1">'1ERA SERVICIOS GENERALES'!D84</f>
        <v>ASCENDENTE</v>
      </c>
      <c r="G317" s="10" t="str">
        <f ca="1">'1ERA SERVICIOS GENERALES'!E84</f>
        <v>BITACORA OPERATIVA</v>
      </c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</row>
    <row r="318" spans="1:21" ht="39.75" customHeight="1">
      <c r="A318" s="53"/>
      <c r="B318" s="53"/>
      <c r="C318" s="12" t="str">
        <f ca="1">'1ERA SERVICIOS GENERALES'!A85</f>
        <v>CAMPAÑAS PARA MASCOTAS REALIZADAS (VACUNACION, ESTERILIZACION ETC).</v>
      </c>
      <c r="D318" s="10">
        <f ca="1">'1ERA SERVICIOS GENERALES'!B85</f>
        <v>240</v>
      </c>
      <c r="E318" s="10" t="str">
        <f ca="1">'1ERA SERVICIOS GENERALES'!C85</f>
        <v>CAMPAÑAS</v>
      </c>
      <c r="F318" s="10" t="str">
        <f ca="1">'1ERA SERVICIOS GENERALES'!D85</f>
        <v>ASCENDENTE</v>
      </c>
      <c r="G318" s="10" t="str">
        <f ca="1">'1ERA SERVICIOS GENERALES'!E85</f>
        <v>BITACORA OPERATIVA</v>
      </c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</row>
    <row r="319" spans="1:21" ht="39.75" customHeight="1">
      <c r="A319" s="53"/>
      <c r="B319" s="53"/>
      <c r="C319" s="12" t="str">
        <f ca="1">'1ERA SERVICIOS GENERALES'!A86</f>
        <v>ANIMALES ATENDIDOS EN CAMPAÑAS DE ESTERILIZACION</v>
      </c>
      <c r="D319" s="10">
        <f ca="1">'1ERA SERVICIOS GENERALES'!B86</f>
        <v>60</v>
      </c>
      <c r="E319" s="10" t="str">
        <f ca="1">'1ERA SERVICIOS GENERALES'!C86</f>
        <v>ANIMALES ATENDIDOS</v>
      </c>
      <c r="F319" s="10" t="str">
        <f ca="1">'1ERA SERVICIOS GENERALES'!D86</f>
        <v>ASCENDENTE</v>
      </c>
      <c r="G319" s="10" t="str">
        <f ca="1">'1ERA SERVICIOS GENERALES'!E86</f>
        <v>BITACORA OPERATIVA</v>
      </c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</row>
    <row r="320" spans="1:21" ht="39.75" customHeight="1">
      <c r="A320" s="51"/>
      <c r="B320" s="51"/>
      <c r="C320" s="12" t="str">
        <f ca="1">'1ERA SERVICIOS GENERALES'!A87</f>
        <v>ANIMALES VIVOS RECOGIDOS EN VIA PUBLICA</v>
      </c>
      <c r="D320" s="10">
        <f ca="1">'1ERA SERVICIOS GENERALES'!B87</f>
        <v>420</v>
      </c>
      <c r="E320" s="10" t="str">
        <f ca="1">'1ERA SERVICIOS GENERALES'!C87</f>
        <v>ANIMALES RECOLECTADOS</v>
      </c>
      <c r="F320" s="10" t="str">
        <f ca="1">'1ERA SERVICIOS GENERALES'!D87</f>
        <v>ASCENDENTE</v>
      </c>
      <c r="G320" s="10" t="str">
        <f ca="1">'1ERA SERVICIOS GENERALES'!E87</f>
        <v>BITACORA OPERATIVA</v>
      </c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</row>
    <row r="321" spans="1:21" ht="39.75" customHeight="1">
      <c r="A321" s="55" t="s">
        <v>367</v>
      </c>
      <c r="B321" s="55" t="s">
        <v>368</v>
      </c>
      <c r="C321" s="7" t="s">
        <v>369</v>
      </c>
      <c r="D321" s="16">
        <f ca="1">'1RA SEGURIDAD PUBLICA'!B2</f>
        <v>1</v>
      </c>
      <c r="E321" s="16" t="str">
        <f ca="1">'1RA SEGURIDAD PUBLICA'!C2</f>
        <v>PERSONAS SANCIONADAS</v>
      </c>
      <c r="F321" s="16" t="str">
        <f ca="1">'1RA SEGURIDAD PUBLICA'!D2</f>
        <v>DESCENDENTE</v>
      </c>
      <c r="G321" s="16" t="str">
        <f ca="1">'1RA SEGURIDAD PUBLICA'!E2</f>
        <v>BITACORA DE ATENCION</v>
      </c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</row>
    <row r="322" spans="1:21" ht="39.75" customHeight="1">
      <c r="A322" s="53"/>
      <c r="B322" s="53"/>
      <c r="C322" s="7" t="s">
        <v>370</v>
      </c>
      <c r="D322" s="17">
        <f ca="1">'1RA SEGURIDAD PUBLICA'!B3</f>
        <v>1</v>
      </c>
      <c r="E322" s="16" t="s">
        <v>371</v>
      </c>
      <c r="F322" s="16" t="s">
        <v>289</v>
      </c>
      <c r="G322" s="17" t="str">
        <f ca="1">'1RA SEGURIDAD PUBLICA'!E3</f>
        <v>BITACORA DE ATENCION</v>
      </c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</row>
    <row r="323" spans="1:21" ht="39.75" customHeight="1">
      <c r="A323" s="53"/>
      <c r="B323" s="53"/>
      <c r="C323" s="7" t="s">
        <v>372</v>
      </c>
      <c r="D323" s="17">
        <f ca="1">'1RA SEGURIDAD PUBLICA'!B4</f>
        <v>1</v>
      </c>
      <c r="E323" s="16" t="s">
        <v>371</v>
      </c>
      <c r="F323" s="16" t="s">
        <v>289</v>
      </c>
      <c r="G323" s="17" t="str">
        <f ca="1">'1RA SEGURIDAD PUBLICA'!E4</f>
        <v>BITACORA DE ATENCION</v>
      </c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</row>
    <row r="324" spans="1:21" ht="39.75" customHeight="1">
      <c r="A324" s="53"/>
      <c r="B324" s="53"/>
      <c r="C324" s="7" t="s">
        <v>373</v>
      </c>
      <c r="D324" s="17">
        <f ca="1">'1RA SEGURIDAD PUBLICA'!B5</f>
        <v>1</v>
      </c>
      <c r="E324" s="16" t="s">
        <v>371</v>
      </c>
      <c r="F324" s="16" t="s">
        <v>289</v>
      </c>
      <c r="G324" s="17" t="str">
        <f ca="1">'1RA SEGURIDAD PUBLICA'!E5</f>
        <v>BITACORA OPERATIVA</v>
      </c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</row>
    <row r="325" spans="1:21" ht="39.75" customHeight="1">
      <c r="A325" s="53"/>
      <c r="B325" s="53"/>
      <c r="C325" s="7" t="s">
        <v>374</v>
      </c>
      <c r="D325" s="17">
        <f ca="1">'1RA SEGURIDAD PUBLICA'!B6</f>
        <v>1</v>
      </c>
      <c r="E325" s="16" t="s">
        <v>371</v>
      </c>
      <c r="F325" s="16" t="s">
        <v>289</v>
      </c>
      <c r="G325" s="17" t="str">
        <f ca="1">'1RA SEGURIDAD PUBLICA'!E6</f>
        <v>BITACORA OPERATIVA</v>
      </c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</row>
    <row r="326" spans="1:21" ht="39.75" customHeight="1">
      <c r="A326" s="53"/>
      <c r="B326" s="53"/>
      <c r="C326" s="7" t="s">
        <v>375</v>
      </c>
      <c r="D326" s="17">
        <f ca="1">'1RA SEGURIDAD PUBLICA'!B7</f>
        <v>1</v>
      </c>
      <c r="E326" s="16" t="s">
        <v>371</v>
      </c>
      <c r="F326" s="16" t="s">
        <v>289</v>
      </c>
      <c r="G326" s="17" t="str">
        <f ca="1">'1RA SEGURIDAD PUBLICA'!E7</f>
        <v>BITACORA OPERATIVA</v>
      </c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</row>
    <row r="327" spans="1:21" ht="39.75" customHeight="1">
      <c r="A327" s="53"/>
      <c r="B327" s="53"/>
      <c r="C327" s="7" t="s">
        <v>376</v>
      </c>
      <c r="D327" s="17">
        <f ca="1">'1RA SEGURIDAD PUBLICA'!B8</f>
        <v>1</v>
      </c>
      <c r="E327" s="16" t="s">
        <v>371</v>
      </c>
      <c r="F327" s="16" t="s">
        <v>289</v>
      </c>
      <c r="G327" s="17" t="str">
        <f ca="1">'1RA SEGURIDAD PUBLICA'!E8</f>
        <v>BITACORA OPERATIVA</v>
      </c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</row>
    <row r="328" spans="1:21" ht="39.75" customHeight="1">
      <c r="A328" s="53"/>
      <c r="B328" s="53"/>
      <c r="C328" s="7" t="s">
        <v>377</v>
      </c>
      <c r="D328" s="17">
        <f ca="1">'1RA SEGURIDAD PUBLICA'!B9</f>
        <v>1</v>
      </c>
      <c r="E328" s="16" t="s">
        <v>371</v>
      </c>
      <c r="F328" s="16" t="s">
        <v>289</v>
      </c>
      <c r="G328" s="17" t="str">
        <f ca="1">'1RA SEGURIDAD PUBLICA'!E9</f>
        <v>BITACORA OPERATIVA</v>
      </c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</row>
    <row r="329" spans="1:21" ht="39.75" customHeight="1">
      <c r="A329" s="53"/>
      <c r="B329" s="53"/>
      <c r="C329" s="7" t="s">
        <v>378</v>
      </c>
      <c r="D329" s="17">
        <f ca="1">'1RA SEGURIDAD PUBLICA'!B10</f>
        <v>1</v>
      </c>
      <c r="E329" s="16" t="s">
        <v>371</v>
      </c>
      <c r="F329" s="16" t="s">
        <v>289</v>
      </c>
      <c r="G329" s="17" t="str">
        <f ca="1">'1RA SEGURIDAD PUBLICA'!E10</f>
        <v>BITACORA OPERATIVA</v>
      </c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</row>
    <row r="330" spans="1:21" ht="39.75" customHeight="1">
      <c r="A330" s="53"/>
      <c r="B330" s="53"/>
      <c r="C330" s="7" t="s">
        <v>379</v>
      </c>
      <c r="D330" s="17">
        <f ca="1">'1RA SEGURIDAD PUBLICA'!B11</f>
        <v>1</v>
      </c>
      <c r="E330" s="16" t="s">
        <v>371</v>
      </c>
      <c r="F330" s="16" t="s">
        <v>289</v>
      </c>
      <c r="G330" s="17" t="str">
        <f ca="1">'1RA SEGURIDAD PUBLICA'!E11</f>
        <v>BITACORA OPERATIVA</v>
      </c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</row>
    <row r="331" spans="1:21" ht="39.75" customHeight="1">
      <c r="A331" s="53"/>
      <c r="B331" s="53"/>
      <c r="C331" s="7" t="s">
        <v>380</v>
      </c>
      <c r="D331" s="17">
        <f ca="1">'1RA SEGURIDAD PUBLICA'!B12</f>
        <v>1</v>
      </c>
      <c r="E331" s="16" t="s">
        <v>371</v>
      </c>
      <c r="F331" s="16" t="s">
        <v>289</v>
      </c>
      <c r="G331" s="17" t="str">
        <f ca="1">'1RA SEGURIDAD PUBLICA'!E12</f>
        <v>BITACORA OPERATIVA</v>
      </c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</row>
    <row r="332" spans="1:21" ht="39.75" customHeight="1">
      <c r="A332" s="53"/>
      <c r="B332" s="53"/>
      <c r="C332" s="7" t="s">
        <v>381</v>
      </c>
      <c r="D332" s="17">
        <f ca="1">'1RA SEGURIDAD PUBLICA'!B13</f>
        <v>1</v>
      </c>
      <c r="E332" s="16" t="s">
        <v>371</v>
      </c>
      <c r="F332" s="16" t="s">
        <v>289</v>
      </c>
      <c r="G332" s="17" t="str">
        <f ca="1">'1RA SEGURIDAD PUBLICA'!E13</f>
        <v>BITACORA OPERATIVA</v>
      </c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</row>
    <row r="333" spans="1:21" ht="39.75" customHeight="1">
      <c r="A333" s="53"/>
      <c r="B333" s="53"/>
      <c r="C333" s="7" t="s">
        <v>382</v>
      </c>
      <c r="D333" s="17">
        <f ca="1">'1RA SEGURIDAD PUBLICA'!B14</f>
        <v>1</v>
      </c>
      <c r="E333" s="16" t="s">
        <v>371</v>
      </c>
      <c r="F333" s="16" t="s">
        <v>289</v>
      </c>
      <c r="G333" s="17" t="str">
        <f ca="1">'1RA SEGURIDAD PUBLICA'!E14</f>
        <v>BITACORA OPERATIVA</v>
      </c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</row>
    <row r="334" spans="1:21" ht="39.75" customHeight="1">
      <c r="A334" s="53"/>
      <c r="B334" s="53"/>
      <c r="C334" s="7" t="s">
        <v>383</v>
      </c>
      <c r="D334" s="17">
        <f ca="1">'1RA SEGURIDAD PUBLICA'!B15</f>
        <v>1</v>
      </c>
      <c r="E334" s="16" t="s">
        <v>371</v>
      </c>
      <c r="F334" s="17" t="str">
        <f ca="1">'1RA SEGURIDAD PUBLICA'!D15</f>
        <v>ASCENDENTE</v>
      </c>
      <c r="G334" s="17" t="str">
        <f ca="1">'1RA SEGURIDAD PUBLICA'!E15</f>
        <v>BITACORA OPERATIVA</v>
      </c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</row>
    <row r="335" spans="1:21" ht="39.75" customHeight="1">
      <c r="A335" s="53"/>
      <c r="B335" s="53"/>
      <c r="C335" s="7" t="s">
        <v>384</v>
      </c>
      <c r="D335" s="17">
        <f ca="1">'1RA SEGURIDAD PUBLICA'!B16</f>
        <v>1</v>
      </c>
      <c r="E335" s="16" t="s">
        <v>371</v>
      </c>
      <c r="F335" s="17" t="str">
        <f ca="1">'1RA SEGURIDAD PUBLICA'!D16</f>
        <v>ASCENDENTE</v>
      </c>
      <c r="G335" s="17" t="str">
        <f ca="1">'1RA SEGURIDAD PUBLICA'!E16</f>
        <v>BITACORA OPERATIVA</v>
      </c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</row>
    <row r="336" spans="1:21" ht="39.75" customHeight="1">
      <c r="A336" s="53"/>
      <c r="B336" s="53"/>
      <c r="C336" s="7" t="s">
        <v>385</v>
      </c>
      <c r="D336" s="17">
        <f ca="1">'1RA SEGURIDAD PUBLICA'!B17</f>
        <v>1</v>
      </c>
      <c r="E336" s="16" t="s">
        <v>371</v>
      </c>
      <c r="F336" s="17" t="str">
        <f ca="1">'1RA SEGURIDAD PUBLICA'!D17</f>
        <v>ASCENDENTE</v>
      </c>
      <c r="G336" s="17" t="str">
        <f ca="1">'1RA SEGURIDAD PUBLICA'!E17</f>
        <v>BITACORA OPERATIVA</v>
      </c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</row>
    <row r="337" spans="1:21" ht="39.75" customHeight="1">
      <c r="A337" s="53"/>
      <c r="B337" s="53"/>
      <c r="C337" s="7" t="s">
        <v>386</v>
      </c>
      <c r="D337" s="17">
        <f ca="1">'1RA SEGURIDAD PUBLICA'!B18</f>
        <v>1</v>
      </c>
      <c r="E337" s="16" t="s">
        <v>371</v>
      </c>
      <c r="F337" s="17" t="str">
        <f ca="1">'1RA SEGURIDAD PUBLICA'!D18</f>
        <v>ASCENDENTE</v>
      </c>
      <c r="G337" s="17" t="str">
        <f ca="1">'1RA SEGURIDAD PUBLICA'!E18</f>
        <v>BITACORA OPERATIVA</v>
      </c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</row>
    <row r="338" spans="1:21" ht="39.75" customHeight="1">
      <c r="A338" s="53"/>
      <c r="B338" s="53"/>
      <c r="C338" s="7" t="s">
        <v>387</v>
      </c>
      <c r="D338" s="17">
        <f ca="1">'1RA SEGURIDAD PUBLICA'!B19</f>
        <v>1</v>
      </c>
      <c r="E338" s="16" t="s">
        <v>371</v>
      </c>
      <c r="F338" s="17" t="str">
        <f ca="1">'1RA SEGURIDAD PUBLICA'!D19</f>
        <v>ASCENDENTE</v>
      </c>
      <c r="G338" s="17" t="str">
        <f ca="1">'1RA SEGURIDAD PUBLICA'!E19</f>
        <v>BITACORA OPERATIVA</v>
      </c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</row>
    <row r="339" spans="1:21" ht="39.75" customHeight="1">
      <c r="A339" s="53"/>
      <c r="B339" s="53"/>
      <c r="C339" s="7" t="s">
        <v>388</v>
      </c>
      <c r="D339" s="17">
        <f ca="1">'1RA SEGURIDAD PUBLICA'!B20</f>
        <v>1</v>
      </c>
      <c r="E339" s="16" t="s">
        <v>389</v>
      </c>
      <c r="F339" s="17" t="str">
        <f ca="1">'1RA SEGURIDAD PUBLICA'!D20</f>
        <v>ASCENDENTE</v>
      </c>
      <c r="G339" s="17" t="str">
        <f ca="1">'1RA SEGURIDAD PUBLICA'!E20</f>
        <v>BITACORA OPERATIVA</v>
      </c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</row>
    <row r="340" spans="1:21" ht="39.75" customHeight="1">
      <c r="A340" s="53"/>
      <c r="B340" s="53"/>
      <c r="C340" s="7" t="s">
        <v>390</v>
      </c>
      <c r="D340" s="17">
        <f ca="1">'1RA SEGURIDAD PUBLICA'!B21</f>
        <v>1</v>
      </c>
      <c r="E340" s="16" t="s">
        <v>391</v>
      </c>
      <c r="F340" s="17" t="str">
        <f ca="1">'1RA SEGURIDAD PUBLICA'!D21</f>
        <v>ASCENDENTE</v>
      </c>
      <c r="G340" s="17" t="str">
        <f ca="1">'1RA SEGURIDAD PUBLICA'!E21</f>
        <v>BITACORA OPERATIVA</v>
      </c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</row>
    <row r="341" spans="1:21" ht="39.75" customHeight="1">
      <c r="A341" s="53"/>
      <c r="B341" s="53"/>
      <c r="C341" s="7" t="s">
        <v>392</v>
      </c>
      <c r="D341" s="17">
        <f ca="1">'1RA SEGURIDAD PUBLICA'!B22</f>
        <v>1</v>
      </c>
      <c r="E341" s="16" t="s">
        <v>393</v>
      </c>
      <c r="F341" s="17" t="str">
        <f ca="1">'1RA SEGURIDAD PUBLICA'!D22</f>
        <v>ASCENDENTE</v>
      </c>
      <c r="G341" s="17" t="str">
        <f ca="1">'1RA SEGURIDAD PUBLICA'!E22</f>
        <v>BITACORA OPERATIVA</v>
      </c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</row>
    <row r="342" spans="1:21" ht="39.75" customHeight="1">
      <c r="A342" s="53"/>
      <c r="B342" s="53"/>
      <c r="C342" s="7" t="s">
        <v>394</v>
      </c>
      <c r="D342" s="17">
        <f ca="1">'1RA SEGURIDAD PUBLICA'!B23</f>
        <v>1</v>
      </c>
      <c r="E342" s="16" t="s">
        <v>395</v>
      </c>
      <c r="F342" s="17" t="str">
        <f ca="1">'1RA SEGURIDAD PUBLICA'!D23</f>
        <v>ASCENDENTE</v>
      </c>
      <c r="G342" s="17" t="str">
        <f ca="1">'1RA SEGURIDAD PUBLICA'!E23</f>
        <v>BITACORA OPERATIVA</v>
      </c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</row>
    <row r="343" spans="1:21" ht="39.75" customHeight="1">
      <c r="A343" s="53"/>
      <c r="B343" s="53"/>
      <c r="C343" s="7" t="s">
        <v>396</v>
      </c>
      <c r="D343" s="17">
        <f ca="1">'1RA SEGURIDAD PUBLICA'!B24</f>
        <v>1</v>
      </c>
      <c r="E343" s="16" t="s">
        <v>397</v>
      </c>
      <c r="F343" s="17" t="str">
        <f ca="1">'1RA SEGURIDAD PUBLICA'!D24</f>
        <v>ASCENDENTE</v>
      </c>
      <c r="G343" s="17" t="str">
        <f ca="1">'1RA SEGURIDAD PUBLICA'!E24</f>
        <v>BITACORA OPERATIVA</v>
      </c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</row>
    <row r="344" spans="1:21" ht="39.75" customHeight="1">
      <c r="A344" s="53"/>
      <c r="B344" s="53"/>
      <c r="C344" s="7" t="s">
        <v>398</v>
      </c>
      <c r="D344" s="17">
        <f ca="1">'1RA SEGURIDAD PUBLICA'!B25</f>
        <v>1</v>
      </c>
      <c r="E344" s="16" t="s">
        <v>399</v>
      </c>
      <c r="F344" s="17" t="str">
        <f ca="1">'1RA SEGURIDAD PUBLICA'!D25</f>
        <v>ASCENDENTE</v>
      </c>
      <c r="G344" s="17" t="str">
        <f ca="1">'1RA SEGURIDAD PUBLICA'!E25</f>
        <v>BITACORA OPERATIVA</v>
      </c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</row>
    <row r="345" spans="1:21" ht="39.75" customHeight="1">
      <c r="A345" s="53"/>
      <c r="B345" s="53"/>
      <c r="C345" s="7" t="s">
        <v>400</v>
      </c>
      <c r="D345" s="17">
        <f ca="1">'1RA SEGURIDAD PUBLICA'!B26</f>
        <v>4</v>
      </c>
      <c r="E345" s="16" t="s">
        <v>401</v>
      </c>
      <c r="F345" s="17" t="str">
        <f ca="1">'1RA SEGURIDAD PUBLICA'!D26</f>
        <v>DESCENDENTE</v>
      </c>
      <c r="G345" s="17" t="str">
        <f ca="1">'1RA SEGURIDAD PUBLICA'!E26</f>
        <v>BITACORA OPERATIVA</v>
      </c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</row>
    <row r="346" spans="1:21" ht="39.75" customHeight="1">
      <c r="A346" s="53"/>
      <c r="B346" s="53"/>
      <c r="C346" s="7" t="s">
        <v>402</v>
      </c>
      <c r="D346" s="17">
        <f ca="1">'1RA SEGURIDAD PUBLICA'!B27</f>
        <v>4</v>
      </c>
      <c r="E346" s="16" t="s">
        <v>403</v>
      </c>
      <c r="F346" s="17" t="str">
        <f ca="1">'1RA SEGURIDAD PUBLICA'!D27</f>
        <v>DESCENDENTE</v>
      </c>
      <c r="G346" s="17" t="str">
        <f ca="1">'1RA SEGURIDAD PUBLICA'!E27</f>
        <v>BITACORA OPERATIVA</v>
      </c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</row>
    <row r="347" spans="1:21" ht="39.75" customHeight="1">
      <c r="A347" s="53"/>
      <c r="B347" s="53"/>
      <c r="C347" s="7" t="s">
        <v>404</v>
      </c>
      <c r="D347" s="17">
        <f ca="1">'1RA SEGURIDAD PUBLICA'!B28</f>
        <v>1</v>
      </c>
      <c r="E347" s="16" t="s">
        <v>393</v>
      </c>
      <c r="F347" s="17" t="str">
        <f ca="1">'1RA SEGURIDAD PUBLICA'!D28</f>
        <v>DESCENDENTE</v>
      </c>
      <c r="G347" s="17" t="str">
        <f ca="1">'1RA SEGURIDAD PUBLICA'!E28</f>
        <v>BITACORA OPERATIVA</v>
      </c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</row>
    <row r="348" spans="1:21" ht="39.75" customHeight="1">
      <c r="A348" s="53"/>
      <c r="B348" s="53"/>
      <c r="C348" s="7" t="s">
        <v>405</v>
      </c>
      <c r="D348" s="17">
        <f ca="1">'1RA SEGURIDAD PUBLICA'!B29</f>
        <v>1</v>
      </c>
      <c r="E348" s="16" t="s">
        <v>406</v>
      </c>
      <c r="F348" s="17" t="str">
        <f ca="1">'1RA SEGURIDAD PUBLICA'!D29</f>
        <v>DESCENDENTE</v>
      </c>
      <c r="G348" s="17" t="str">
        <f ca="1">'1RA SEGURIDAD PUBLICA'!E29</f>
        <v>BITACORA OPERATIVA</v>
      </c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</row>
    <row r="349" spans="1:21" ht="39.75" customHeight="1">
      <c r="A349" s="53"/>
      <c r="B349" s="53"/>
      <c r="C349" s="7" t="s">
        <v>407</v>
      </c>
      <c r="D349" s="17">
        <f ca="1">'1RA SEGURIDAD PUBLICA'!B30</f>
        <v>1</v>
      </c>
      <c r="E349" s="16" t="s">
        <v>408</v>
      </c>
      <c r="F349" s="17" t="str">
        <f ca="1">'1RA SEGURIDAD PUBLICA'!D30</f>
        <v>DESCENDENTE</v>
      </c>
      <c r="G349" s="17" t="str">
        <f ca="1">'1RA SEGURIDAD PUBLICA'!E30</f>
        <v>BITACORA OPERATIVA</v>
      </c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</row>
    <row r="350" spans="1:21" ht="39.75" customHeight="1">
      <c r="A350" s="53"/>
      <c r="B350" s="53"/>
      <c r="C350" s="7" t="s">
        <v>409</v>
      </c>
      <c r="D350" s="17">
        <f ca="1">'1RA SEGURIDAD PUBLICA'!B31</f>
        <v>60</v>
      </c>
      <c r="E350" s="16" t="s">
        <v>410</v>
      </c>
      <c r="F350" s="17" t="str">
        <f ca="1">'1RA SEGURIDAD PUBLICA'!D31</f>
        <v>DESCENDENTE</v>
      </c>
      <c r="G350" s="17" t="str">
        <f ca="1">'1RA SEGURIDAD PUBLICA'!E31</f>
        <v>BITACORA OPERATIVA</v>
      </c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</row>
    <row r="351" spans="1:21" ht="39.75" customHeight="1">
      <c r="A351" s="53"/>
      <c r="B351" s="53"/>
      <c r="C351" s="7" t="s">
        <v>411</v>
      </c>
      <c r="D351" s="17">
        <f ca="1">'1RA SEGURIDAD PUBLICA'!B32</f>
        <v>5</v>
      </c>
      <c r="E351" s="16" t="s">
        <v>412</v>
      </c>
      <c r="F351" s="17" t="str">
        <f ca="1">'1RA SEGURIDAD PUBLICA'!D32</f>
        <v>DESCENDENTE</v>
      </c>
      <c r="G351" s="17" t="str">
        <f ca="1">'1RA SEGURIDAD PUBLICA'!E32</f>
        <v>BITACORA OPERATIVA</v>
      </c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</row>
    <row r="352" spans="1:21" ht="39.75" customHeight="1">
      <c r="A352" s="53"/>
      <c r="B352" s="53"/>
      <c r="C352" s="7" t="s">
        <v>413</v>
      </c>
      <c r="D352" s="17">
        <f ca="1">'1RA SEGURIDAD PUBLICA'!B33</f>
        <v>10</v>
      </c>
      <c r="E352" s="16" t="s">
        <v>413</v>
      </c>
      <c r="F352" s="17" t="str">
        <f ca="1">'1RA SEGURIDAD PUBLICA'!D33</f>
        <v>DESCENDENTE</v>
      </c>
      <c r="G352" s="17" t="str">
        <f ca="1">'1RA SEGURIDAD PUBLICA'!E33</f>
        <v>BITACORA OPERATIVA</v>
      </c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</row>
    <row r="353" spans="1:21" ht="39.75" customHeight="1">
      <c r="A353" s="53"/>
      <c r="B353" s="53"/>
      <c r="C353" s="7" t="s">
        <v>414</v>
      </c>
      <c r="D353" s="17">
        <f ca="1">'1RA SEGURIDAD PUBLICA'!B34</f>
        <v>300</v>
      </c>
      <c r="E353" s="16" t="s">
        <v>415</v>
      </c>
      <c r="F353" s="17" t="str">
        <f ca="1">'1RA SEGURIDAD PUBLICA'!D34</f>
        <v>DESCENDENTE</v>
      </c>
      <c r="G353" s="17" t="str">
        <f ca="1">'1RA SEGURIDAD PUBLICA'!E34</f>
        <v>BITACORA OPERATIVA</v>
      </c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</row>
    <row r="354" spans="1:21" ht="39.75" customHeight="1">
      <c r="A354" s="53"/>
      <c r="B354" s="51"/>
      <c r="C354" s="7" t="s">
        <v>416</v>
      </c>
      <c r="D354" s="17">
        <f ca="1">'1RA SEGURIDAD PUBLICA'!B35</f>
        <v>50</v>
      </c>
      <c r="E354" s="16" t="s">
        <v>416</v>
      </c>
      <c r="F354" s="17" t="str">
        <f ca="1">'1RA SEGURIDAD PUBLICA'!D35</f>
        <v>DESCENDENTE</v>
      </c>
      <c r="G354" s="17" t="str">
        <f ca="1">'1RA SEGURIDAD PUBLICA'!E35</f>
        <v>BITACORA OPERATIVA</v>
      </c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</row>
    <row r="355" spans="1:21" ht="39.75" customHeight="1">
      <c r="A355" s="53"/>
      <c r="B355" s="55" t="s">
        <v>417</v>
      </c>
      <c r="C355" s="7" t="s">
        <v>418</v>
      </c>
      <c r="D355" s="17">
        <f ca="1">'1RA SEGURIDAD PUBLICA'!B36</f>
        <v>4000</v>
      </c>
      <c r="E355" s="16" t="s">
        <v>419</v>
      </c>
      <c r="F355" s="17" t="str">
        <f ca="1">'1RA SEGURIDAD PUBLICA'!D36</f>
        <v>DESCENDENTE</v>
      </c>
      <c r="G355" s="17" t="str">
        <f ca="1">'1RA SEGURIDAD PUBLICA'!E36</f>
        <v>BITACORA OPERATIVA</v>
      </c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</row>
    <row r="356" spans="1:21" ht="39.75" customHeight="1">
      <c r="A356" s="53"/>
      <c r="B356" s="53"/>
      <c r="C356" s="7" t="s">
        <v>420</v>
      </c>
      <c r="D356" s="17">
        <f ca="1">'1RA SEGURIDAD PUBLICA'!B37</f>
        <v>1800</v>
      </c>
      <c r="E356" s="16" t="s">
        <v>421</v>
      </c>
      <c r="F356" s="17" t="str">
        <f ca="1">'1RA SEGURIDAD PUBLICA'!D37</f>
        <v>ASCENDENTE</v>
      </c>
      <c r="G356" s="17" t="str">
        <f ca="1">'1RA SEGURIDAD PUBLICA'!E37</f>
        <v>BITACORA OPERATIVA</v>
      </c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</row>
    <row r="357" spans="1:21" ht="39.75" customHeight="1">
      <c r="A357" s="53"/>
      <c r="B357" s="53"/>
      <c r="C357" s="7" t="s">
        <v>422</v>
      </c>
      <c r="D357" s="17">
        <f ca="1">'1RA SEGURIDAD PUBLICA'!B38</f>
        <v>100</v>
      </c>
      <c r="E357" s="16" t="s">
        <v>423</v>
      </c>
      <c r="F357" s="17" t="str">
        <f ca="1">'1RA SEGURIDAD PUBLICA'!D38</f>
        <v>ASCENDENTE</v>
      </c>
      <c r="G357" s="17" t="str">
        <f ca="1">'1RA SEGURIDAD PUBLICA'!E38</f>
        <v>BITACORA OPERATIVA</v>
      </c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</row>
    <row r="358" spans="1:21" ht="39.75" customHeight="1">
      <c r="A358" s="51"/>
      <c r="B358" s="51"/>
      <c r="C358" s="7" t="s">
        <v>424</v>
      </c>
      <c r="D358" s="16">
        <v>20</v>
      </c>
      <c r="E358" s="16" t="s">
        <v>425</v>
      </c>
      <c r="F358" s="17" t="str">
        <f ca="1">'1RA SEGURIDAD PUBLICA'!D39</f>
        <v>ASCENDENTE</v>
      </c>
      <c r="G358" s="17" t="str">
        <f ca="1">'1RA SEGURIDAD PUBLICA'!E39</f>
        <v>BITACORA OPERATIVA</v>
      </c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</row>
    <row r="359" spans="1:21" ht="39.75" customHeight="1">
      <c r="A359" s="52" t="s">
        <v>426</v>
      </c>
      <c r="B359" s="52" t="s">
        <v>427</v>
      </c>
      <c r="C359" s="12" t="s">
        <v>428</v>
      </c>
      <c r="D359" s="17">
        <f ca="1">'1RA GESTION DE LA CIUDAD'!B2</f>
        <v>22300</v>
      </c>
      <c r="E359" s="16" t="s">
        <v>429</v>
      </c>
      <c r="F359" s="17" t="str">
        <f ca="1">'1RA GESTION DE LA CIUDAD'!D2</f>
        <v>ASCENDENTE</v>
      </c>
      <c r="G359" s="17" t="str">
        <f ca="1">'1RA GESTION DE LA CIUDAD'!E2</f>
        <v>SESIONES PUBLICAS</v>
      </c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</row>
    <row r="360" spans="1:21" ht="39.75" customHeight="1">
      <c r="A360" s="53"/>
      <c r="B360" s="53"/>
      <c r="C360" s="12" t="s">
        <v>430</v>
      </c>
      <c r="D360" s="17">
        <f ca="1">'1RA GESTION DE LA CIUDAD'!B3</f>
        <v>2520</v>
      </c>
      <c r="E360" s="16" t="s">
        <v>431</v>
      </c>
      <c r="F360" s="17" t="str">
        <f ca="1">'1RA GESTION DE LA CIUDAD'!D3</f>
        <v>ASCENDENTE</v>
      </c>
      <c r="G360" s="17" t="str">
        <f ca="1">'1RA GESTION DE LA CIUDAD'!E3</f>
        <v>BITACORA DE ATENCION</v>
      </c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</row>
    <row r="361" spans="1:21" ht="39.75" customHeight="1">
      <c r="A361" s="53"/>
      <c r="B361" s="51"/>
      <c r="C361" s="12" t="s">
        <v>432</v>
      </c>
      <c r="D361" s="17">
        <f ca="1">'1RA GESTION DE LA CIUDAD'!B4</f>
        <v>59</v>
      </c>
      <c r="E361" s="16" t="s">
        <v>433</v>
      </c>
      <c r="F361" s="17" t="str">
        <f ca="1">'1RA GESTION DE LA CIUDAD'!D4</f>
        <v>ASCENDENTE</v>
      </c>
      <c r="G361" s="17" t="str">
        <f ca="1">'1RA GESTION DE LA CIUDAD'!E4</f>
        <v>BITACORA DE ATENCION</v>
      </c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</row>
    <row r="362" spans="1:21" ht="39.75" customHeight="1">
      <c r="A362" s="53"/>
      <c r="B362" s="52" t="s">
        <v>434</v>
      </c>
      <c r="C362" s="12" t="s">
        <v>435</v>
      </c>
      <c r="D362" s="17">
        <f ca="1">'1RA GESTION DE LA CIUDAD'!B5</f>
        <v>100</v>
      </c>
      <c r="E362" s="16" t="s">
        <v>435</v>
      </c>
      <c r="F362" s="17" t="str">
        <f ca="1">'1RA GESTION DE LA CIUDAD'!D5</f>
        <v>ASCENDENTE</v>
      </c>
      <c r="G362" s="17" t="str">
        <f ca="1">'1RA GESTION DE LA CIUDAD'!E5</f>
        <v>BITACORA OPERATIVA</v>
      </c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</row>
    <row r="363" spans="1:21" ht="39.75" customHeight="1">
      <c r="A363" s="53"/>
      <c r="B363" s="53"/>
      <c r="C363" s="12" t="s">
        <v>436</v>
      </c>
      <c r="D363" s="17">
        <f ca="1">'1RA GESTION DE LA CIUDAD'!B6</f>
        <v>70</v>
      </c>
      <c r="E363" s="16" t="s">
        <v>436</v>
      </c>
      <c r="F363" s="17" t="str">
        <f ca="1">'1RA GESTION DE LA CIUDAD'!D6</f>
        <v>ASCENDENTE</v>
      </c>
      <c r="G363" s="17" t="str">
        <f ca="1">'1RA GESTION DE LA CIUDAD'!E6</f>
        <v>BITACORA OPERATIVA</v>
      </c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</row>
    <row r="364" spans="1:21" ht="39.75" customHeight="1">
      <c r="A364" s="53"/>
      <c r="B364" s="51"/>
      <c r="C364" s="12" t="s">
        <v>437</v>
      </c>
      <c r="D364" s="17">
        <f ca="1">'1RA GESTION DE LA CIUDAD'!B7</f>
        <v>153</v>
      </c>
      <c r="E364" s="16" t="s">
        <v>438</v>
      </c>
      <c r="F364" s="17" t="str">
        <f ca="1">'1RA GESTION DE LA CIUDAD'!D7</f>
        <v>ASCENDENTE</v>
      </c>
      <c r="G364" s="17" t="str">
        <f ca="1">'1RA GESTION DE LA CIUDAD'!E7</f>
        <v>BITACORA OPERATIVA</v>
      </c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</row>
    <row r="365" spans="1:21" ht="39.75" customHeight="1">
      <c r="A365" s="53"/>
      <c r="B365" s="52" t="s">
        <v>439</v>
      </c>
      <c r="C365" s="12" t="s">
        <v>440</v>
      </c>
      <c r="D365" s="17">
        <f ca="1">'1RA GESTION DE LA CIUDAD'!B8</f>
        <v>210</v>
      </c>
      <c r="E365" s="16" t="s">
        <v>440</v>
      </c>
      <c r="F365" s="17" t="str">
        <f ca="1">'1RA GESTION DE LA CIUDAD'!D8</f>
        <v>ASCENDENTE</v>
      </c>
      <c r="G365" s="17" t="str">
        <f ca="1">'1RA GESTION DE LA CIUDAD'!E8</f>
        <v>BITACORA OPERATIVA</v>
      </c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</row>
    <row r="366" spans="1:21" ht="39.75" customHeight="1">
      <c r="A366" s="53"/>
      <c r="B366" s="53"/>
      <c r="C366" s="12" t="s">
        <v>441</v>
      </c>
      <c r="D366" s="17">
        <f ca="1">'1RA GESTION DE LA CIUDAD'!B9</f>
        <v>290</v>
      </c>
      <c r="E366" s="16" t="s">
        <v>441</v>
      </c>
      <c r="F366" s="17" t="str">
        <f ca="1">'1RA GESTION DE LA CIUDAD'!D9</f>
        <v>ASCENDENTE</v>
      </c>
      <c r="G366" s="17" t="str">
        <f ca="1">'1RA GESTION DE LA CIUDAD'!E9</f>
        <v>BITACORA OPERATIVA</v>
      </c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</row>
    <row r="367" spans="1:21" ht="39.75" customHeight="1">
      <c r="A367" s="53"/>
      <c r="B367" s="53"/>
      <c r="C367" s="12" t="s">
        <v>442</v>
      </c>
      <c r="D367" s="17">
        <f ca="1">'1RA GESTION DE LA CIUDAD'!B10</f>
        <v>150</v>
      </c>
      <c r="E367" s="16" t="s">
        <v>442</v>
      </c>
      <c r="F367" s="17" t="str">
        <f ca="1">'1RA GESTION DE LA CIUDAD'!D10</f>
        <v>ASCENDENTE</v>
      </c>
      <c r="G367" s="17" t="str">
        <f ca="1">'1RA GESTION DE LA CIUDAD'!E10</f>
        <v>BITACORA OPERATIVA</v>
      </c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</row>
    <row r="368" spans="1:21" ht="39.75" customHeight="1">
      <c r="A368" s="53"/>
      <c r="B368" s="51"/>
      <c r="C368" s="12" t="s">
        <v>443</v>
      </c>
      <c r="D368" s="17">
        <f ca="1">'1RA GESTION DE LA CIUDAD'!B11</f>
        <v>290</v>
      </c>
      <c r="E368" s="16" t="s">
        <v>443</v>
      </c>
      <c r="F368" s="17" t="str">
        <f ca="1">'1RA GESTION DE LA CIUDAD'!D11</f>
        <v>ASCENDENTE</v>
      </c>
      <c r="G368" s="17" t="str">
        <f ca="1">'1RA GESTION DE LA CIUDAD'!E11</f>
        <v>BITACORA OPERATIVA</v>
      </c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</row>
    <row r="369" spans="1:21" ht="39.75" customHeight="1">
      <c r="A369" s="53"/>
      <c r="B369" s="52" t="s">
        <v>444</v>
      </c>
      <c r="C369" s="12" t="s">
        <v>445</v>
      </c>
      <c r="D369" s="17">
        <f ca="1">'1RA GESTION DE LA CIUDAD'!B12</f>
        <v>250</v>
      </c>
      <c r="E369" s="16" t="s">
        <v>446</v>
      </c>
      <c r="F369" s="17" t="str">
        <f ca="1">'1RA GESTION DE LA CIUDAD'!D12</f>
        <v>ASCENDENTE</v>
      </c>
      <c r="G369" s="17" t="str">
        <f ca="1">'1RA GESTION DE LA CIUDAD'!E12</f>
        <v>BITACORA OPERATIVA</v>
      </c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</row>
    <row r="370" spans="1:21" ht="39.75" customHeight="1">
      <c r="A370" s="53"/>
      <c r="B370" s="53"/>
      <c r="C370" s="12" t="s">
        <v>447</v>
      </c>
      <c r="D370" s="17">
        <f ca="1">'1RA GESTION DE LA CIUDAD'!B13</f>
        <v>55</v>
      </c>
      <c r="E370" s="16" t="s">
        <v>448</v>
      </c>
      <c r="F370" s="17" t="str">
        <f ca="1">'1RA GESTION DE LA CIUDAD'!D13</f>
        <v>ASCENDENTE</v>
      </c>
      <c r="G370" s="17" t="str">
        <f ca="1">'1RA GESTION DE LA CIUDAD'!E13</f>
        <v>BITACORA OPERATIVA</v>
      </c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</row>
    <row r="371" spans="1:21" ht="39.75" customHeight="1">
      <c r="A371" s="53"/>
      <c r="B371" s="53"/>
      <c r="C371" s="12" t="s">
        <v>449</v>
      </c>
      <c r="D371" s="17">
        <f ca="1">'1RA GESTION DE LA CIUDAD'!B14</f>
        <v>515</v>
      </c>
      <c r="E371" s="16" t="s">
        <v>450</v>
      </c>
      <c r="F371" s="17" t="str">
        <f ca="1">'1RA GESTION DE LA CIUDAD'!D14</f>
        <v>ASCENDENTE</v>
      </c>
      <c r="G371" s="17" t="str">
        <f ca="1">'1RA GESTION DE LA CIUDAD'!E14</f>
        <v>BITACORA OPERATIVA</v>
      </c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</row>
    <row r="372" spans="1:21" ht="39.75" customHeight="1">
      <c r="A372" s="53"/>
      <c r="B372" s="53"/>
      <c r="C372" s="12" t="s">
        <v>451</v>
      </c>
      <c r="D372" s="17">
        <f ca="1">'1RA GESTION DE LA CIUDAD'!B15</f>
        <v>290</v>
      </c>
      <c r="E372" s="16" t="s">
        <v>452</v>
      </c>
      <c r="F372" s="17" t="str">
        <f ca="1">'1RA GESTION DE LA CIUDAD'!D15</f>
        <v>ASCENDENTE</v>
      </c>
      <c r="G372" s="17" t="str">
        <f ca="1">'1RA GESTION DE LA CIUDAD'!E15</f>
        <v>BITACORA OPERATIVA</v>
      </c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</row>
    <row r="373" spans="1:21" ht="39.75" customHeight="1">
      <c r="A373" s="53"/>
      <c r="B373" s="53"/>
      <c r="C373" s="12" t="s">
        <v>453</v>
      </c>
      <c r="D373" s="17">
        <f ca="1">'1RA GESTION DE LA CIUDAD'!B16</f>
        <v>220</v>
      </c>
      <c r="E373" s="16" t="s">
        <v>454</v>
      </c>
      <c r="F373" s="17" t="str">
        <f ca="1">'1RA GESTION DE LA CIUDAD'!D16</f>
        <v>ASCENDENTE</v>
      </c>
      <c r="G373" s="17" t="str">
        <f ca="1">'1RA GESTION DE LA CIUDAD'!E16</f>
        <v>BITACORA OPERATIVA</v>
      </c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</row>
    <row r="374" spans="1:21" ht="39.75" customHeight="1">
      <c r="A374" s="53"/>
      <c r="B374" s="53"/>
      <c r="C374" s="12" t="s">
        <v>455</v>
      </c>
      <c r="D374" s="17">
        <f ca="1">'1RA GESTION DE LA CIUDAD'!B17</f>
        <v>3</v>
      </c>
      <c r="E374" s="16" t="s">
        <v>456</v>
      </c>
      <c r="F374" s="17" t="str">
        <f ca="1">'1RA GESTION DE LA CIUDAD'!D17</f>
        <v>ASCENDENTE</v>
      </c>
      <c r="G374" s="17" t="str">
        <f ca="1">'1RA GESTION DE LA CIUDAD'!E17</f>
        <v>BITACORA OPERATIVA</v>
      </c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</row>
    <row r="375" spans="1:21" ht="39.75" customHeight="1">
      <c r="A375" s="53"/>
      <c r="B375" s="53"/>
      <c r="C375" s="12" t="s">
        <v>457</v>
      </c>
      <c r="D375" s="17">
        <f ca="1">'1RA GESTION DE LA CIUDAD'!B18</f>
        <v>7</v>
      </c>
      <c r="E375" s="16" t="s">
        <v>458</v>
      </c>
      <c r="F375" s="17" t="str">
        <f ca="1">'1RA GESTION DE LA CIUDAD'!D18</f>
        <v>DESCENDENTE</v>
      </c>
      <c r="G375" s="17" t="str">
        <f ca="1">'1RA GESTION DE LA CIUDAD'!E18</f>
        <v>BITACORA OPERATIVA</v>
      </c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</row>
    <row r="376" spans="1:21" ht="39.75" customHeight="1">
      <c r="A376" s="51"/>
      <c r="B376" s="51"/>
      <c r="C376" s="12" t="s">
        <v>459</v>
      </c>
      <c r="D376" s="17">
        <f ca="1">'1RA GESTION DE LA CIUDAD'!B19</f>
        <v>2</v>
      </c>
      <c r="E376" s="16" t="s">
        <v>460</v>
      </c>
      <c r="F376" s="17" t="str">
        <f ca="1">'1RA GESTION DE LA CIUDAD'!D19</f>
        <v>DESCENDENTE</v>
      </c>
      <c r="G376" s="17" t="str">
        <f ca="1">'1RA GESTION DE LA CIUDAD'!E19</f>
        <v>BITACORA OPERATIVA</v>
      </c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</row>
    <row r="377" spans="1:21" ht="39.75" customHeight="1">
      <c r="A377" s="54" t="s">
        <v>461</v>
      </c>
      <c r="B377" s="50" t="s">
        <v>462</v>
      </c>
      <c r="C377" s="27" t="s">
        <v>463</v>
      </c>
      <c r="D377" s="17">
        <f ca="1">'1RA PROTECCION CIVIL'!B2</f>
        <v>10</v>
      </c>
      <c r="E377" s="17" t="str">
        <f ca="1">'1RA PROTECCION CIVIL'!C2</f>
        <v>INCENDIOS</v>
      </c>
      <c r="F377" s="17" t="str">
        <f ca="1">'1RA PROTECCION CIVIL'!D2</f>
        <v>DECENDENTE</v>
      </c>
      <c r="G377" s="17" t="str">
        <f ca="1">'1RA PROTECCION CIVIL'!E2</f>
        <v>SESIONES PUBLICAS</v>
      </c>
      <c r="H377" s="17"/>
      <c r="I377" s="17"/>
      <c r="J377" s="17"/>
      <c r="K377" s="17"/>
      <c r="L377" s="34"/>
      <c r="M377" s="34"/>
      <c r="N377" s="34"/>
      <c r="O377" s="34"/>
      <c r="P377" s="34"/>
      <c r="Q377" s="34"/>
      <c r="R377" s="34"/>
      <c r="S377" s="34"/>
      <c r="T377" s="34"/>
      <c r="U377" s="34"/>
    </row>
    <row r="378" spans="1:21" ht="39.75" customHeight="1">
      <c r="A378" s="53"/>
      <c r="B378" s="53"/>
      <c r="C378" s="27" t="s">
        <v>464</v>
      </c>
      <c r="D378" s="17">
        <f ca="1">'1RA PROTECCION CIVIL'!B3</f>
        <v>30</v>
      </c>
      <c r="E378" s="17" t="str">
        <f ca="1">'1RA PROTECCION CIVIL'!C3</f>
        <v>INCENDIOS</v>
      </c>
      <c r="F378" s="17" t="str">
        <f ca="1">'1RA PROTECCION CIVIL'!D3</f>
        <v>DECENDENTE</v>
      </c>
      <c r="G378" s="17" t="str">
        <f ca="1">'1RA PROTECCION CIVIL'!E3</f>
        <v>BITACORA DE ATENCION</v>
      </c>
      <c r="H378" s="17"/>
      <c r="I378" s="17"/>
      <c r="J378" s="17"/>
      <c r="K378" s="17"/>
      <c r="L378" s="34"/>
      <c r="M378" s="34"/>
      <c r="N378" s="34"/>
      <c r="O378" s="34"/>
      <c r="P378" s="34"/>
      <c r="Q378" s="34"/>
      <c r="R378" s="34"/>
      <c r="S378" s="34"/>
      <c r="T378" s="34"/>
      <c r="U378" s="34"/>
    </row>
    <row r="379" spans="1:21" ht="39.75" customHeight="1">
      <c r="A379" s="53"/>
      <c r="B379" s="53"/>
      <c r="C379" s="27" t="s">
        <v>465</v>
      </c>
      <c r="D379" s="17">
        <f ca="1">'1RA PROTECCION CIVIL'!B4</f>
        <v>15</v>
      </c>
      <c r="E379" s="17" t="str">
        <f ca="1">'1RA PROTECCION CIVIL'!C4</f>
        <v>INCENDIOS</v>
      </c>
      <c r="F379" s="17" t="str">
        <f ca="1">'1RA PROTECCION CIVIL'!D4</f>
        <v>DECENDENTE</v>
      </c>
      <c r="G379" s="17" t="str">
        <f ca="1">'1RA PROTECCION CIVIL'!E4</f>
        <v>BITACORA DE ATENCION</v>
      </c>
      <c r="H379" s="17"/>
      <c r="I379" s="17"/>
      <c r="J379" s="17"/>
      <c r="K379" s="17"/>
      <c r="L379" s="34"/>
      <c r="M379" s="34"/>
      <c r="N379" s="34"/>
      <c r="O379" s="34"/>
      <c r="P379" s="34"/>
      <c r="Q379" s="34"/>
      <c r="R379" s="34"/>
      <c r="S379" s="34"/>
      <c r="T379" s="34"/>
      <c r="U379" s="34"/>
    </row>
    <row r="380" spans="1:21" ht="39.75" customHeight="1">
      <c r="A380" s="53"/>
      <c r="B380" s="53"/>
      <c r="C380" s="27" t="s">
        <v>466</v>
      </c>
      <c r="D380" s="17">
        <f ca="1">'1RA PROTECCION CIVIL'!B5</f>
        <v>50</v>
      </c>
      <c r="E380" s="17" t="str">
        <f ca="1">'1RA PROTECCION CIVIL'!C5</f>
        <v>INCENDIOS</v>
      </c>
      <c r="F380" s="17" t="str">
        <f ca="1">'1RA PROTECCION CIVIL'!D5</f>
        <v>DECENDENTE</v>
      </c>
      <c r="G380" s="17" t="str">
        <f ca="1">'1RA PROTECCION CIVIL'!E5</f>
        <v>BITACORA OPERATIVA</v>
      </c>
      <c r="H380" s="17"/>
      <c r="I380" s="17"/>
      <c r="J380" s="17"/>
      <c r="K380" s="17"/>
      <c r="L380" s="34"/>
      <c r="M380" s="34"/>
      <c r="N380" s="34"/>
      <c r="O380" s="34"/>
      <c r="P380" s="34"/>
      <c r="Q380" s="34"/>
      <c r="R380" s="34"/>
      <c r="S380" s="34"/>
      <c r="T380" s="34"/>
      <c r="U380" s="34"/>
    </row>
    <row r="381" spans="1:21" ht="39.75" customHeight="1">
      <c r="A381" s="53"/>
      <c r="B381" s="53"/>
      <c r="C381" s="27" t="s">
        <v>467</v>
      </c>
      <c r="D381" s="17">
        <f ca="1">'1RA PROTECCION CIVIL'!B6</f>
        <v>10</v>
      </c>
      <c r="E381" s="17" t="str">
        <f ca="1">'1RA PROTECCION CIVIL'!C6</f>
        <v>INCENDIOS</v>
      </c>
      <c r="F381" s="17" t="str">
        <f ca="1">'1RA PROTECCION CIVIL'!D6</f>
        <v>DECENDENTE</v>
      </c>
      <c r="G381" s="17" t="str">
        <f ca="1">'1RA PROTECCION CIVIL'!E6</f>
        <v>BITACORA OPERATIVA</v>
      </c>
      <c r="H381" s="17"/>
      <c r="I381" s="17"/>
      <c r="J381" s="17"/>
      <c r="K381" s="17"/>
      <c r="L381" s="34"/>
      <c r="M381" s="34"/>
      <c r="N381" s="34"/>
      <c r="O381" s="34"/>
      <c r="P381" s="34"/>
      <c r="Q381" s="34"/>
      <c r="R381" s="34"/>
      <c r="S381" s="34"/>
      <c r="T381" s="34"/>
      <c r="U381" s="34"/>
    </row>
    <row r="382" spans="1:21" ht="39.75" customHeight="1">
      <c r="A382" s="53"/>
      <c r="B382" s="53"/>
      <c r="C382" s="27" t="s">
        <v>468</v>
      </c>
      <c r="D382" s="17">
        <f ca="1">'1RA PROTECCION CIVIL'!B7</f>
        <v>7</v>
      </c>
      <c r="E382" s="17" t="str">
        <f ca="1">'1RA PROTECCION CIVIL'!C7</f>
        <v>INCENDIO DERIBADO DE CHOQUE VEHICULAR ATENDIDO</v>
      </c>
      <c r="F382" s="17" t="str">
        <f ca="1">'1RA PROTECCION CIVIL'!D7</f>
        <v>DECENDENTE</v>
      </c>
      <c r="G382" s="17" t="str">
        <f ca="1">'1RA PROTECCION CIVIL'!E7</f>
        <v>BITACORA OPERATIVA</v>
      </c>
      <c r="H382" s="17"/>
      <c r="I382" s="17"/>
      <c r="J382" s="17"/>
      <c r="K382" s="17"/>
      <c r="L382" s="34"/>
      <c r="M382" s="34"/>
      <c r="N382" s="34"/>
      <c r="O382" s="34"/>
      <c r="P382" s="34"/>
      <c r="Q382" s="34"/>
      <c r="R382" s="34"/>
      <c r="S382" s="34"/>
      <c r="T382" s="34"/>
      <c r="U382" s="34"/>
    </row>
    <row r="383" spans="1:21" ht="39.75" customHeight="1">
      <c r="A383" s="53"/>
      <c r="B383" s="53"/>
      <c r="C383" s="27" t="s">
        <v>469</v>
      </c>
      <c r="D383" s="17">
        <f ca="1">'1RA PROTECCION CIVIL'!B8</f>
        <v>4</v>
      </c>
      <c r="E383" s="17" t="str">
        <f ca="1">'1RA PROTECCION CIVIL'!C8</f>
        <v>INCENDIO ACCIDENTAL ATENDIDO</v>
      </c>
      <c r="F383" s="17" t="str">
        <f ca="1">'1RA PROTECCION CIVIL'!D8</f>
        <v>DECENDENTE</v>
      </c>
      <c r="G383" s="17" t="str">
        <f ca="1">'1RA PROTECCION CIVIL'!E8</f>
        <v>BITACORA OPERATIVA</v>
      </c>
      <c r="H383" s="17"/>
      <c r="I383" s="17"/>
      <c r="J383" s="17"/>
      <c r="K383" s="17"/>
      <c r="L383" s="34"/>
      <c r="M383" s="34"/>
      <c r="N383" s="34"/>
      <c r="O383" s="34"/>
      <c r="P383" s="34"/>
      <c r="Q383" s="34"/>
      <c r="R383" s="34"/>
      <c r="S383" s="34"/>
      <c r="T383" s="34"/>
      <c r="U383" s="34"/>
    </row>
    <row r="384" spans="1:21" ht="39.75" customHeight="1">
      <c r="A384" s="53"/>
      <c r="B384" s="53"/>
      <c r="C384" s="27" t="s">
        <v>470</v>
      </c>
      <c r="D384" s="17">
        <f ca="1">'1RA PROTECCION CIVIL'!B9</f>
        <v>5</v>
      </c>
      <c r="E384" s="17" t="str">
        <f ca="1">'1RA PROTECCION CIVIL'!C9</f>
        <v>EXPLOSION ATENDIDA</v>
      </c>
      <c r="F384" s="17" t="str">
        <f ca="1">'1RA PROTECCION CIVIL'!D9</f>
        <v>DECENDENTE</v>
      </c>
      <c r="G384" s="17" t="str">
        <f ca="1">'1RA PROTECCION CIVIL'!E9</f>
        <v>BITACORA OPERATIVA</v>
      </c>
      <c r="H384" s="17"/>
      <c r="I384" s="17"/>
      <c r="J384" s="17"/>
      <c r="K384" s="17"/>
      <c r="L384" s="34"/>
      <c r="M384" s="34"/>
      <c r="N384" s="34"/>
      <c r="O384" s="34"/>
      <c r="P384" s="34"/>
      <c r="Q384" s="34"/>
      <c r="R384" s="34"/>
      <c r="S384" s="34"/>
      <c r="T384" s="34"/>
      <c r="U384" s="34"/>
    </row>
    <row r="385" spans="1:21" ht="39.75" customHeight="1">
      <c r="A385" s="53"/>
      <c r="B385" s="53"/>
      <c r="C385" s="27" t="s">
        <v>471</v>
      </c>
      <c r="D385" s="17">
        <f ca="1">'1RA PROTECCION CIVIL'!B10</f>
        <v>40</v>
      </c>
      <c r="E385" s="17" t="str">
        <f ca="1">'1RA PROTECCION CIVIL'!C10</f>
        <v>INCENDIO POR FUEGO DIRECTO ATENDIDO</v>
      </c>
      <c r="F385" s="17" t="str">
        <f ca="1">'1RA PROTECCION CIVIL'!D10</f>
        <v>DECENDENTE</v>
      </c>
      <c r="G385" s="17" t="str">
        <f ca="1">'1RA PROTECCION CIVIL'!E10</f>
        <v>BITACORA OPERATIVA</v>
      </c>
      <c r="H385" s="17"/>
      <c r="I385" s="17"/>
      <c r="J385" s="17"/>
      <c r="K385" s="17"/>
      <c r="L385" s="34"/>
      <c r="M385" s="34"/>
      <c r="N385" s="34"/>
      <c r="O385" s="34"/>
      <c r="P385" s="34"/>
      <c r="Q385" s="34"/>
      <c r="R385" s="34"/>
      <c r="S385" s="34"/>
      <c r="T385" s="34"/>
      <c r="U385" s="34"/>
    </row>
    <row r="386" spans="1:21" ht="39.75" customHeight="1">
      <c r="A386" s="53"/>
      <c r="B386" s="53"/>
      <c r="C386" s="27" t="s">
        <v>472</v>
      </c>
      <c r="D386" s="17">
        <f ca="1">'1RA PROTECCION CIVIL'!B11</f>
        <v>16</v>
      </c>
      <c r="E386" s="17" t="str">
        <f ca="1">'1RA PROTECCION CIVIL'!C11</f>
        <v>INCENDIO POR QUEMA DE BASURA ATENDIDO</v>
      </c>
      <c r="F386" s="17" t="str">
        <f ca="1">'1RA PROTECCION CIVIL'!D11</f>
        <v>DECENDENTE</v>
      </c>
      <c r="G386" s="17" t="str">
        <f ca="1">'1RA PROTECCION CIVIL'!E11</f>
        <v>BITACORA OPERATIVA</v>
      </c>
      <c r="H386" s="17"/>
      <c r="I386" s="17"/>
      <c r="J386" s="17"/>
      <c r="K386" s="17"/>
      <c r="L386" s="34"/>
      <c r="M386" s="34"/>
      <c r="N386" s="34"/>
      <c r="O386" s="34"/>
      <c r="P386" s="34"/>
      <c r="Q386" s="34"/>
      <c r="R386" s="34"/>
      <c r="S386" s="34"/>
      <c r="T386" s="34"/>
      <c r="U386" s="34"/>
    </row>
    <row r="387" spans="1:21" ht="39.75" customHeight="1">
      <c r="A387" s="53"/>
      <c r="B387" s="53"/>
      <c r="C387" s="27" t="s">
        <v>473</v>
      </c>
      <c r="D387" s="17">
        <f ca="1">'1RA PROTECCION CIVIL'!B12</f>
        <v>3</v>
      </c>
      <c r="E387" s="17" t="str">
        <f ca="1">'1RA PROTECCION CIVIL'!C12</f>
        <v>INCENDIO POR PROPAGACION DE FUEGO ATENDIDO</v>
      </c>
      <c r="F387" s="17" t="str">
        <f ca="1">'1RA PROTECCION CIVIL'!D12</f>
        <v>DECENDENTE</v>
      </c>
      <c r="G387" s="17" t="str">
        <f ca="1">'1RA PROTECCION CIVIL'!E12</f>
        <v>BITACORA OPERATIVA</v>
      </c>
      <c r="H387" s="17"/>
      <c r="I387" s="17"/>
      <c r="J387" s="17"/>
      <c r="K387" s="17"/>
      <c r="L387" s="34"/>
      <c r="M387" s="34"/>
      <c r="N387" s="34"/>
      <c r="O387" s="34"/>
      <c r="P387" s="34"/>
      <c r="Q387" s="34"/>
      <c r="R387" s="34"/>
      <c r="S387" s="34"/>
      <c r="T387" s="34"/>
      <c r="U387" s="34"/>
    </row>
    <row r="388" spans="1:21" ht="39.75" customHeight="1">
      <c r="A388" s="53"/>
      <c r="B388" s="53"/>
      <c r="C388" s="27" t="s">
        <v>474</v>
      </c>
      <c r="D388" s="17">
        <f ca="1">'1RA PROTECCION CIVIL'!B13</f>
        <v>8</v>
      </c>
      <c r="E388" s="17" t="str">
        <f ca="1">'1RA PROTECCION CIVIL'!C13</f>
        <v>INCENDIO POR MALA INSTALACION ELECTRICA ATENDIDA</v>
      </c>
      <c r="F388" s="17" t="str">
        <f ca="1">'1RA PROTECCION CIVIL'!D13</f>
        <v>DECENDENTE</v>
      </c>
      <c r="G388" s="17" t="str">
        <f ca="1">'1RA PROTECCION CIVIL'!E13</f>
        <v>BITACORA OPERATIVA</v>
      </c>
      <c r="H388" s="17"/>
      <c r="I388" s="17"/>
      <c r="J388" s="17"/>
      <c r="K388" s="17"/>
      <c r="L388" s="34"/>
      <c r="M388" s="34"/>
      <c r="N388" s="34"/>
      <c r="O388" s="34"/>
      <c r="P388" s="34"/>
      <c r="Q388" s="34"/>
      <c r="R388" s="34"/>
      <c r="S388" s="34"/>
      <c r="T388" s="34"/>
      <c r="U388" s="34"/>
    </row>
    <row r="389" spans="1:21" ht="39.75" customHeight="1">
      <c r="A389" s="53"/>
      <c r="B389" s="53"/>
      <c r="C389" s="27" t="s">
        <v>475</v>
      </c>
      <c r="D389" s="17">
        <f ca="1">'1RA PROTECCION CIVIL'!B14</f>
        <v>120</v>
      </c>
      <c r="E389" s="17" t="str">
        <f ca="1">'1RA PROTECCION CIVIL'!C14</f>
        <v>INCENDIO POR FALTA DE MANTENIMIENTO ATENDIDO</v>
      </c>
      <c r="F389" s="17" t="str">
        <f ca="1">'1RA PROTECCION CIVIL'!D14</f>
        <v>DECENDENTE</v>
      </c>
      <c r="G389" s="17" t="str">
        <f ca="1">'1RA PROTECCION CIVIL'!E14</f>
        <v>BITACORA OPERATIVA</v>
      </c>
      <c r="H389" s="17"/>
      <c r="I389" s="17"/>
      <c r="J389" s="17"/>
      <c r="K389" s="17"/>
      <c r="L389" s="34"/>
      <c r="M389" s="34"/>
      <c r="N389" s="34"/>
      <c r="O389" s="34"/>
      <c r="P389" s="34"/>
      <c r="Q389" s="34"/>
      <c r="R389" s="34"/>
      <c r="S389" s="34"/>
      <c r="T389" s="34"/>
      <c r="U389" s="34"/>
    </row>
    <row r="390" spans="1:21" ht="39.75" customHeight="1">
      <c r="A390" s="53"/>
      <c r="B390" s="53"/>
      <c r="C390" s="27" t="s">
        <v>476</v>
      </c>
      <c r="D390" s="17">
        <f ca="1">'1RA PROTECCION CIVIL'!B15</f>
        <v>15</v>
      </c>
      <c r="E390" s="17" t="str">
        <f ca="1">'1RA PROTECCION CIVIL'!C15</f>
        <v>INCENDIO POR REIGNICION ATENDIDO</v>
      </c>
      <c r="F390" s="17" t="str">
        <f ca="1">'1RA PROTECCION CIVIL'!D15</f>
        <v>DECENDENTE</v>
      </c>
      <c r="G390" s="17" t="str">
        <f ca="1">'1RA PROTECCION CIVIL'!E15</f>
        <v>BITACORA OPERATIVA</v>
      </c>
      <c r="H390" s="17"/>
      <c r="I390" s="17"/>
      <c r="J390" s="17"/>
      <c r="K390" s="17"/>
      <c r="L390" s="34"/>
      <c r="M390" s="34"/>
      <c r="N390" s="34"/>
      <c r="O390" s="34"/>
      <c r="P390" s="34"/>
      <c r="Q390" s="34"/>
      <c r="R390" s="34"/>
      <c r="S390" s="34"/>
      <c r="T390" s="34"/>
      <c r="U390" s="34"/>
    </row>
    <row r="391" spans="1:21" ht="39.75" customHeight="1">
      <c r="A391" s="53"/>
      <c r="B391" s="53"/>
      <c r="C391" s="27" t="s">
        <v>477</v>
      </c>
      <c r="D391" s="17">
        <f ca="1">'1RA PROTECCION CIVIL'!B16</f>
        <v>7</v>
      </c>
      <c r="E391" s="17" t="str">
        <f ca="1">'1RA PROTECCION CIVIL'!C16</f>
        <v>INCENDIO POR SOBRECALENTAMIENTO DE MOTOR ATENDIDO</v>
      </c>
      <c r="F391" s="17" t="str">
        <f ca="1">'1RA PROTECCION CIVIL'!D16</f>
        <v>DECENDENTE</v>
      </c>
      <c r="G391" s="17" t="str">
        <f ca="1">'1RA PROTECCION CIVIL'!E16</f>
        <v>BITACORA OPERATIVA</v>
      </c>
      <c r="H391" s="17"/>
      <c r="I391" s="17"/>
      <c r="J391" s="17"/>
      <c r="K391" s="17"/>
      <c r="L391" s="34"/>
      <c r="M391" s="34"/>
      <c r="N391" s="34"/>
      <c r="O391" s="34"/>
      <c r="P391" s="34"/>
      <c r="Q391" s="34"/>
      <c r="R391" s="34"/>
      <c r="S391" s="34"/>
      <c r="T391" s="34"/>
      <c r="U391" s="34"/>
    </row>
    <row r="392" spans="1:21" ht="39.75" customHeight="1">
      <c r="A392" s="53"/>
      <c r="B392" s="53"/>
      <c r="C392" s="27" t="s">
        <v>478</v>
      </c>
      <c r="D392" s="17">
        <f ca="1">'1RA PROTECCION CIVIL'!B17</f>
        <v>30</v>
      </c>
      <c r="E392" s="17" t="str">
        <f ca="1">'1RA PROTECCION CIVIL'!C17</f>
        <v>INCENDIO POR FALSA EXPLOSION ATENDIDA</v>
      </c>
      <c r="F392" s="17" t="str">
        <f ca="1">'1RA PROTECCION CIVIL'!D17</f>
        <v>DECENDENTE</v>
      </c>
      <c r="G392" s="17" t="str">
        <f ca="1">'1RA PROTECCION CIVIL'!E17</f>
        <v>BITACORA OPERATIVA</v>
      </c>
      <c r="H392" s="17"/>
      <c r="I392" s="17"/>
      <c r="J392" s="17"/>
      <c r="K392" s="17"/>
      <c r="L392" s="34"/>
      <c r="M392" s="34"/>
      <c r="N392" s="34"/>
      <c r="O392" s="34"/>
      <c r="P392" s="34"/>
      <c r="Q392" s="34"/>
      <c r="R392" s="34"/>
      <c r="S392" s="34"/>
      <c r="T392" s="34"/>
      <c r="U392" s="34"/>
    </row>
    <row r="393" spans="1:21" ht="39.75" customHeight="1">
      <c r="A393" s="53"/>
      <c r="B393" s="53"/>
      <c r="C393" s="27" t="s">
        <v>479</v>
      </c>
      <c r="D393" s="17">
        <f ca="1">'1RA PROTECCION CIVIL'!B18</f>
        <v>50</v>
      </c>
      <c r="E393" s="17" t="str">
        <f ca="1">'1RA PROTECCION CIVIL'!C18</f>
        <v xml:space="preserve"> CHOQUE DE VEHICULO ATENDIDO</v>
      </c>
      <c r="F393" s="17" t="str">
        <f ca="1">'1RA PROTECCION CIVIL'!D18</f>
        <v>DECENDENTE</v>
      </c>
      <c r="G393" s="17" t="str">
        <f ca="1">'1RA PROTECCION CIVIL'!E18</f>
        <v>BITACORA OPERATIVA</v>
      </c>
      <c r="H393" s="17"/>
      <c r="I393" s="17"/>
      <c r="J393" s="17"/>
      <c r="K393" s="17"/>
      <c r="L393" s="34"/>
      <c r="M393" s="34"/>
      <c r="N393" s="34"/>
      <c r="O393" s="34"/>
      <c r="P393" s="34"/>
      <c r="Q393" s="34"/>
      <c r="R393" s="34"/>
      <c r="S393" s="34"/>
      <c r="T393" s="34"/>
      <c r="U393" s="34"/>
    </row>
    <row r="394" spans="1:21" ht="39.75" customHeight="1">
      <c r="A394" s="53"/>
      <c r="B394" s="53"/>
      <c r="C394" s="27" t="s">
        <v>480</v>
      </c>
      <c r="D394" s="17">
        <f ca="1">'1RA PROTECCION CIVIL'!B19</f>
        <v>10</v>
      </c>
      <c r="E394" s="17" t="str">
        <f ca="1">'1RA PROTECCION CIVIL'!C19</f>
        <v>VOLCAMIENTO ATENDIDO</v>
      </c>
      <c r="F394" s="17" t="str">
        <f ca="1">'1RA PROTECCION CIVIL'!D19</f>
        <v>DECENDENTE</v>
      </c>
      <c r="G394" s="17" t="str">
        <f ca="1">'1RA PROTECCION CIVIL'!E19</f>
        <v>BITACORA OPERATIVA</v>
      </c>
      <c r="H394" s="17"/>
      <c r="I394" s="17"/>
      <c r="J394" s="17"/>
      <c r="K394" s="17"/>
      <c r="L394" s="34"/>
      <c r="M394" s="34"/>
      <c r="N394" s="34"/>
      <c r="O394" s="34"/>
      <c r="P394" s="34"/>
      <c r="Q394" s="34"/>
      <c r="R394" s="34"/>
      <c r="S394" s="34"/>
      <c r="T394" s="34"/>
      <c r="U394" s="34"/>
    </row>
    <row r="395" spans="1:21" ht="39.75" customHeight="1">
      <c r="A395" s="53"/>
      <c r="B395" s="53"/>
      <c r="C395" s="27" t="s">
        <v>481</v>
      </c>
      <c r="D395" s="17">
        <f ca="1">'1RA PROTECCION CIVIL'!B20</f>
        <v>4</v>
      </c>
      <c r="E395" s="17" t="str">
        <f ca="1">'1RA PROTECCION CIVIL'!C20</f>
        <v>ACCIDENTE DE TRANSITO ATENDIDO</v>
      </c>
      <c r="F395" s="17" t="str">
        <f ca="1">'1RA PROTECCION CIVIL'!D20</f>
        <v>DECENDENTE</v>
      </c>
      <c r="G395" s="17" t="str">
        <f ca="1">'1RA PROTECCION CIVIL'!E20</f>
        <v>BITACORA OPERATIVA</v>
      </c>
      <c r="H395" s="17"/>
      <c r="I395" s="17"/>
      <c r="J395" s="17"/>
      <c r="K395" s="17"/>
      <c r="L395" s="34"/>
      <c r="M395" s="34"/>
      <c r="N395" s="34"/>
      <c r="O395" s="34"/>
      <c r="P395" s="34"/>
      <c r="Q395" s="34"/>
      <c r="R395" s="34"/>
      <c r="S395" s="34"/>
      <c r="T395" s="34"/>
      <c r="U395" s="34"/>
    </row>
    <row r="396" spans="1:21" ht="39.75" customHeight="1">
      <c r="A396" s="53"/>
      <c r="B396" s="53"/>
      <c r="C396" s="27" t="s">
        <v>482</v>
      </c>
      <c r="D396" s="17">
        <f ca="1">'1RA PROTECCION CIVIL'!B21</f>
        <v>75</v>
      </c>
      <c r="E396" s="17" t="str">
        <f ca="1">'1RA PROTECCION CIVIL'!C21</f>
        <v>RESTO DE CAUSAS ATENDIDAS</v>
      </c>
      <c r="F396" s="17" t="str">
        <f ca="1">'1RA PROTECCION CIVIL'!D21</f>
        <v>DECENDENTE</v>
      </c>
      <c r="G396" s="17" t="str">
        <f ca="1">'1RA PROTECCION CIVIL'!E21</f>
        <v>BITACORA OPERATIVA</v>
      </c>
      <c r="H396" s="17"/>
      <c r="I396" s="17"/>
      <c r="J396" s="17"/>
      <c r="K396" s="17"/>
      <c r="L396" s="34"/>
      <c r="M396" s="34"/>
      <c r="N396" s="34"/>
      <c r="O396" s="34"/>
      <c r="P396" s="34"/>
      <c r="Q396" s="34"/>
      <c r="R396" s="34"/>
      <c r="S396" s="34"/>
      <c r="T396" s="34"/>
      <c r="U396" s="34"/>
    </row>
    <row r="397" spans="1:21" ht="39.75" customHeight="1">
      <c r="A397" s="53"/>
      <c r="B397" s="53"/>
      <c r="C397" s="27" t="s">
        <v>483</v>
      </c>
      <c r="D397" s="17">
        <f ca="1">'1RA PROTECCION CIVIL'!B22</f>
        <v>50</v>
      </c>
      <c r="E397" s="17" t="str">
        <f ca="1">'1RA PROTECCION CIVIL'!C22</f>
        <v>ACCIDENTE DE TRANSITO ATENDIDO</v>
      </c>
      <c r="F397" s="17" t="str">
        <f ca="1">'1RA PROTECCION CIVIL'!D22</f>
        <v>DECENDENTE</v>
      </c>
      <c r="G397" s="17" t="str">
        <f ca="1">'1RA PROTECCION CIVIL'!E22</f>
        <v>BITACORA OPERATIVA</v>
      </c>
      <c r="H397" s="17"/>
      <c r="I397" s="17"/>
      <c r="J397" s="17"/>
      <c r="K397" s="17"/>
      <c r="L397" s="34"/>
      <c r="M397" s="34"/>
      <c r="N397" s="34"/>
      <c r="O397" s="34"/>
      <c r="P397" s="34"/>
      <c r="Q397" s="34"/>
      <c r="R397" s="34"/>
      <c r="S397" s="34"/>
      <c r="T397" s="34"/>
      <c r="U397" s="34"/>
    </row>
    <row r="398" spans="1:21" ht="39.75" customHeight="1">
      <c r="A398" s="53"/>
      <c r="B398" s="53"/>
      <c r="C398" s="27" t="s">
        <v>484</v>
      </c>
      <c r="D398" s="17">
        <f ca="1">'1RA PROTECCION CIVIL'!B23</f>
        <v>55</v>
      </c>
      <c r="E398" s="17" t="str">
        <f ca="1">'1RA PROTECCION CIVIL'!C23</f>
        <v>VOLCADURA ATEDIDA</v>
      </c>
      <c r="F398" s="17" t="str">
        <f ca="1">'1RA PROTECCION CIVIL'!D23</f>
        <v>DECENDENTE</v>
      </c>
      <c r="G398" s="17" t="str">
        <f ca="1">'1RA PROTECCION CIVIL'!E23</f>
        <v>BITACORA OPERATIVA</v>
      </c>
      <c r="H398" s="17"/>
      <c r="I398" s="17"/>
      <c r="J398" s="17"/>
      <c r="K398" s="17"/>
      <c r="L398" s="34"/>
      <c r="M398" s="34"/>
      <c r="N398" s="34"/>
      <c r="O398" s="34"/>
      <c r="P398" s="34"/>
      <c r="Q398" s="34"/>
      <c r="R398" s="34"/>
      <c r="S398" s="34"/>
      <c r="T398" s="34"/>
      <c r="U398" s="34"/>
    </row>
    <row r="399" spans="1:21" ht="39.75" customHeight="1">
      <c r="A399" s="53"/>
      <c r="B399" s="53"/>
      <c r="C399" s="27" t="s">
        <v>485</v>
      </c>
      <c r="D399" s="17">
        <f ca="1">'1RA PROTECCION CIVIL'!B24</f>
        <v>5</v>
      </c>
      <c r="E399" s="17" t="str">
        <f ca="1">'1RA PROTECCION CIVIL'!C24</f>
        <v>UTILIZACION DE EQUIPO DE SOLDADURA</v>
      </c>
      <c r="F399" s="17" t="str">
        <f ca="1">'1RA PROTECCION CIVIL'!D24</f>
        <v>DECENDENTE</v>
      </c>
      <c r="G399" s="17" t="str">
        <f ca="1">'1RA PROTECCION CIVIL'!E24</f>
        <v>BITACORA OPERATIVA</v>
      </c>
      <c r="H399" s="17"/>
      <c r="I399" s="17"/>
      <c r="J399" s="17"/>
      <c r="K399" s="17"/>
      <c r="L399" s="34"/>
      <c r="M399" s="34"/>
      <c r="N399" s="34"/>
      <c r="O399" s="34"/>
      <c r="P399" s="34"/>
      <c r="Q399" s="34"/>
      <c r="R399" s="34"/>
      <c r="S399" s="34"/>
      <c r="T399" s="34"/>
      <c r="U399" s="34"/>
    </row>
    <row r="400" spans="1:21" ht="39.75" customHeight="1">
      <c r="A400" s="53"/>
      <c r="B400" s="53"/>
      <c r="C400" s="27" t="s">
        <v>486</v>
      </c>
      <c r="D400" s="17">
        <f ca="1">'1RA PROTECCION CIVIL'!B25</f>
        <v>10</v>
      </c>
      <c r="E400" s="17" t="str">
        <f ca="1">'1RA PROTECCION CIVIL'!C25</f>
        <v>ACCIDENTE POR UTILIZAR INCORRECTAMENTE EL EQUIPO DE SOLDADURA</v>
      </c>
      <c r="F400" s="17" t="str">
        <f ca="1">'1RA PROTECCION CIVIL'!D25</f>
        <v>DECENDENTE</v>
      </c>
      <c r="G400" s="17" t="str">
        <f ca="1">'1RA PROTECCION CIVIL'!E25</f>
        <v>BITACORA OPERATIVA</v>
      </c>
      <c r="H400" s="17"/>
      <c r="I400" s="17"/>
      <c r="J400" s="17"/>
      <c r="K400" s="17"/>
      <c r="L400" s="34"/>
      <c r="M400" s="34"/>
      <c r="N400" s="34"/>
      <c r="O400" s="34"/>
      <c r="P400" s="34"/>
      <c r="Q400" s="34"/>
      <c r="R400" s="34"/>
      <c r="S400" s="34"/>
      <c r="T400" s="34"/>
      <c r="U400" s="34"/>
    </row>
    <row r="401" spans="1:21" ht="39.75" customHeight="1">
      <c r="A401" s="51"/>
      <c r="B401" s="51"/>
      <c r="C401" s="27" t="s">
        <v>487</v>
      </c>
      <c r="D401" s="17">
        <f ca="1">'1RA PROTECCION CIVIL'!B26</f>
        <v>500</v>
      </c>
      <c r="E401" s="17" t="str">
        <f ca="1">'1RA PROTECCION CIVIL'!C26</f>
        <v>INCENDIO FORESTAL ATENDIDO</v>
      </c>
      <c r="F401" s="17" t="str">
        <f ca="1">'1RA PROTECCION CIVIL'!D26</f>
        <v>DECENDENTE</v>
      </c>
      <c r="G401" s="17" t="str">
        <f ca="1">'1RA PROTECCION CIVIL'!E26</f>
        <v>BITACORA OPERATIVA</v>
      </c>
      <c r="H401" s="17"/>
      <c r="I401" s="17"/>
      <c r="J401" s="17"/>
      <c r="K401" s="17"/>
      <c r="L401" s="34"/>
      <c r="M401" s="34"/>
      <c r="N401" s="34"/>
      <c r="O401" s="34"/>
      <c r="P401" s="34"/>
      <c r="Q401" s="34"/>
      <c r="R401" s="34"/>
      <c r="S401" s="34"/>
      <c r="T401" s="34"/>
      <c r="U401" s="34"/>
    </row>
  </sheetData>
  <mergeCells count="71">
    <mergeCell ref="B119:B130"/>
    <mergeCell ref="B259:B264"/>
    <mergeCell ref="B265:B275"/>
    <mergeCell ref="B276:B283"/>
    <mergeCell ref="B284:B286"/>
    <mergeCell ref="B131:B150"/>
    <mergeCell ref="B151:B188"/>
    <mergeCell ref="B189:B196"/>
    <mergeCell ref="B198:B205"/>
    <mergeCell ref="B206:B207"/>
    <mergeCell ref="B208:B210"/>
    <mergeCell ref="B211:B218"/>
    <mergeCell ref="B78:B85"/>
    <mergeCell ref="B86:B90"/>
    <mergeCell ref="B91:B95"/>
    <mergeCell ref="B96:B99"/>
    <mergeCell ref="B100:B118"/>
    <mergeCell ref="A14:A21"/>
    <mergeCell ref="B14:B15"/>
    <mergeCell ref="B17:B18"/>
    <mergeCell ref="B19:B21"/>
    <mergeCell ref="B30:B36"/>
    <mergeCell ref="A78:A95"/>
    <mergeCell ref="A96:A188"/>
    <mergeCell ref="A189:A205"/>
    <mergeCell ref="A206:A234"/>
    <mergeCell ref="A235:A320"/>
    <mergeCell ref="B22:B24"/>
    <mergeCell ref="B25:B29"/>
    <mergeCell ref="A22:A36"/>
    <mergeCell ref="A37:A52"/>
    <mergeCell ref="A53:A77"/>
    <mergeCell ref="B37:B41"/>
    <mergeCell ref="B42:B44"/>
    <mergeCell ref="B45:B49"/>
    <mergeCell ref="B50:B52"/>
    <mergeCell ref="B53:B56"/>
    <mergeCell ref="B57:B62"/>
    <mergeCell ref="B63:B66"/>
    <mergeCell ref="B68:B77"/>
    <mergeCell ref="A1:H1"/>
    <mergeCell ref="I1:O1"/>
    <mergeCell ref="P1:U1"/>
    <mergeCell ref="A3:A13"/>
    <mergeCell ref="B3:B4"/>
    <mergeCell ref="B5:B6"/>
    <mergeCell ref="B7:B8"/>
    <mergeCell ref="B9:B11"/>
    <mergeCell ref="B12:B13"/>
    <mergeCell ref="A359:A376"/>
    <mergeCell ref="A377:A401"/>
    <mergeCell ref="B233:B234"/>
    <mergeCell ref="B235:B258"/>
    <mergeCell ref="A321:A358"/>
    <mergeCell ref="B321:B354"/>
    <mergeCell ref="B355:B358"/>
    <mergeCell ref="B359:B361"/>
    <mergeCell ref="B369:B376"/>
    <mergeCell ref="B287:B297"/>
    <mergeCell ref="B298:B315"/>
    <mergeCell ref="B316:B320"/>
    <mergeCell ref="B229:B230"/>
    <mergeCell ref="B231:B232"/>
    <mergeCell ref="B362:B364"/>
    <mergeCell ref="B365:B368"/>
    <mergeCell ref="B377:B401"/>
    <mergeCell ref="B219:B220"/>
    <mergeCell ref="B221:B222"/>
    <mergeCell ref="B223:B224"/>
    <mergeCell ref="B225:B226"/>
    <mergeCell ref="B227:B228"/>
  </mergeCells>
  <pageMargins left="0.25" right="0.25" top="0.75" bottom="0.75" header="0" footer="0"/>
  <pageSetup paperSize="5" scale="53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IFERROR(__xludf.DUMMYFUNCTION("IMPORTRANGE(""https://docs.google.com/spreadsheets/d/14XszGl4-Fh-eS7pYDx9CBAcjdaHRqyhrnPc86gnbx8o/edit?gid=1915489439#gid=1915489439"",""02!A1:S"")"),"INDICADORES")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IFERROR(__xludf.DUMMYFUNCTION("""COMPUTED_VALUE"""),"COMITES VECINALES INSTALADOS")</f>
        <v>COMITES VECINALES INSTALADOS</v>
      </c>
      <c r="B2" s="46">
        <f ca="1">IFERROR(__xludf.DUMMYFUNCTION("""COMPUTED_VALUE"""),88)</f>
        <v>88</v>
      </c>
      <c r="C2" s="46" t="str">
        <f ca="1">IFERROR(__xludf.DUMMYFUNCTION("""COMPUTED_VALUE"""),"COMITE")</f>
        <v>COMITE</v>
      </c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IFERROR(__xludf.DUMMYFUNCTION("""COMPUTED_VALUE"""),6.81818181818181)</f>
        <v>6.8181818181818103</v>
      </c>
      <c r="G2" s="48">
        <f ca="1">IFERROR(__xludf.DUMMYFUNCTION("""COMPUTED_VALUE"""),4)</f>
        <v>4</v>
      </c>
      <c r="H2" s="48">
        <f ca="1">IFERROR(__xludf.DUMMYFUNCTION("""COMPUTED_VALUE"""),2)</f>
        <v>2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IFERROR(__xludf.DUMMYFUNCTION("""COMPUTED_VALUE"""),6)</f>
        <v>6</v>
      </c>
    </row>
    <row r="3" spans="1:19">
      <c r="A3" s="46" t="str">
        <f ca="1">IFERROR(__xludf.DUMMYFUNCTION("""COMPUTED_VALUE"""),"COMITES DE OBRA INSTALADOS")</f>
        <v>COMITES DE OBRA INSTALADOS</v>
      </c>
      <c r="B3" s="46">
        <f ca="1">IFERROR(__xludf.DUMMYFUNCTION("""COMPUTED_VALUE"""),72)</f>
        <v>72</v>
      </c>
      <c r="C3" s="46" t="str">
        <f ca="1">IFERROR(__xludf.DUMMYFUNCTION("""COMPUTED_VALUE"""),"COMITE")</f>
        <v>COMITE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IFERROR(__xludf.DUMMYFUNCTION("""COMPUTED_VALUE"""),9.72222222222222)</f>
        <v>9.7222222222222197</v>
      </c>
      <c r="G3" s="48">
        <f ca="1">IFERROR(__xludf.DUMMYFUNCTION("""COMPUTED_VALUE"""),2)</f>
        <v>2</v>
      </c>
      <c r="H3" s="48">
        <f ca="1">IFERROR(__xludf.DUMMYFUNCTION("""COMPUTED_VALUE"""),3)</f>
        <v>3</v>
      </c>
      <c r="I3" s="48">
        <f ca="1">IFERROR(__xludf.DUMMYFUNCTION("""COMPUTED_VALUE"""),2)</f>
        <v>2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IFERROR(__xludf.DUMMYFUNCTION("""COMPUTED_VALUE"""),7)</f>
        <v>7</v>
      </c>
    </row>
    <row r="4" spans="1:19">
      <c r="A4" s="46" t="str">
        <f ca="1">IFERROR(__xludf.DUMMYFUNCTION("""COMPUTED_VALUE"""),"EVENTOS REALIZADOS ")</f>
        <v xml:space="preserve">EVENTOS REALIZADOS </v>
      </c>
      <c r="B4" s="46">
        <f ca="1">IFERROR(__xludf.DUMMYFUNCTION("""COMPUTED_VALUE"""),36)</f>
        <v>36</v>
      </c>
      <c r="C4" s="46" t="str">
        <f ca="1">IFERROR(__xludf.DUMMYFUNCTION("""COMPUTED_VALUE"""),"EVENTO")</f>
        <v>EVENTO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IFERROR(__xludf.DUMMYFUNCTION("""COMPUTED_VALUE"""),130.555555555555)</f>
        <v>130.555555555555</v>
      </c>
      <c r="G4" s="48">
        <f ca="1">IFERROR(__xludf.DUMMYFUNCTION("""COMPUTED_VALUE"""),3)</f>
        <v>3</v>
      </c>
      <c r="H4" s="48">
        <f ca="1">IFERROR(__xludf.DUMMYFUNCTION("""COMPUTED_VALUE"""),44)</f>
        <v>44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IFERROR(__xludf.DUMMYFUNCTION("""COMPUTED_VALUE"""),47)</f>
        <v>47</v>
      </c>
    </row>
    <row r="5" spans="1:19">
      <c r="A5" s="46" t="str">
        <f ca="1">IFERROR(__xludf.DUMMYFUNCTION("""COMPUTED_VALUE"""),"SESIONES DE TALLERES CULTURALES")</f>
        <v>SESIONES DE TALLERES CULTURALES</v>
      </c>
      <c r="B5" s="46">
        <f ca="1">IFERROR(__xludf.DUMMYFUNCTION("""COMPUTED_VALUE"""),1)</f>
        <v>1</v>
      </c>
      <c r="C5" s="46" t="str">
        <f ca="1">IFERROR(__xludf.DUMMYFUNCTION("""COMPUTED_VALUE"""),"TALLERES")</f>
        <v>TALLERES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IFERROR(__xludf.DUMMYFUNCTION("""COMPUTED_VALUE"""),100)</f>
        <v>100</v>
      </c>
      <c r="G5" s="48">
        <f ca="1">IFERROR(__xludf.DUMMYFUNCTION("""COMPUTED_VALUE"""),1)</f>
        <v>1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IFERROR(__xludf.DUMMYFUNCTION("""COMPUTED_VALUE"""),1)</f>
        <v>1</v>
      </c>
    </row>
    <row r="6" spans="1:19">
      <c r="A6" s="46" t="str">
        <f ca="1">IFERROR(__xludf.DUMMYFUNCTION("""COMPUTED_VALUE"""),"PERSONAS BENEFICIADAS")</f>
        <v>PERSONAS BENEFICIADAS</v>
      </c>
      <c r="B6" s="46">
        <f ca="1">IFERROR(__xludf.DUMMYFUNCTION("""COMPUTED_VALUE"""),52520)</f>
        <v>52520</v>
      </c>
      <c r="C6" s="46" t="str">
        <f ca="1">IFERROR(__xludf.DUMMYFUNCTION("""COMPUTED_VALUE"""),"PERSONAS")</f>
        <v>PERSONAS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IFERROR(__xludf.DUMMYFUNCTION("""COMPUTED_VALUE"""),36.563214013709)</f>
        <v>36.563214013709</v>
      </c>
      <c r="G6" s="48">
        <f ca="1">IFERROR(__xludf.DUMMYFUNCTION("""COMPUTED_VALUE"""),2498)</f>
        <v>2498</v>
      </c>
      <c r="H6" s="48">
        <f ca="1">IFERROR(__xludf.DUMMYFUNCTION("""COMPUTED_VALUE"""),13535)</f>
        <v>13535</v>
      </c>
      <c r="I6" s="48">
        <f ca="1">IFERROR(__xludf.DUMMYFUNCTION("""COMPUTED_VALUE"""),3170)</f>
        <v>3170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IFERROR(__xludf.DUMMYFUNCTION("""COMPUTED_VALUE"""),19203)</f>
        <v>19203</v>
      </c>
    </row>
    <row r="7" spans="1:19">
      <c r="A7" s="46" t="str">
        <f ca="1">IFERROR(__xludf.DUMMYFUNCTION("""COMPUTED_VALUE"""),"CLASES DE ESCUELA DE FUTBOL")</f>
        <v>CLASES DE ESCUELA DE FUTBOL</v>
      </c>
      <c r="B7" s="46">
        <f ca="1">IFERROR(__xludf.DUMMYFUNCTION("""COMPUTED_VALUE"""),456)</f>
        <v>456</v>
      </c>
      <c r="C7" s="46" t="str">
        <f ca="1">IFERROR(__xludf.DUMMYFUNCTION("""COMPUTED_VALUE"""),"CLASES")</f>
        <v>CLASES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IFERROR(__xludf.DUMMYFUNCTION("""COMPUTED_VALUE"""),10.0877192982456)</f>
        <v>10.087719298245601</v>
      </c>
      <c r="G7" s="48">
        <f ca="1">IFERROR(__xludf.DUMMYFUNCTION("""COMPUTED_VALUE"""),23)</f>
        <v>23</v>
      </c>
      <c r="H7" s="48">
        <f ca="1">IFERROR(__xludf.DUMMYFUNCTION("""COMPUTED_VALUE"""),23)</f>
        <v>23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IFERROR(__xludf.DUMMYFUNCTION("""COMPUTED_VALUE"""),46)</f>
        <v>46</v>
      </c>
    </row>
    <row r="8" spans="1:19">
      <c r="A8" s="46" t="str">
        <f ca="1">IFERROR(__xludf.DUMMYFUNCTION("""COMPUTED_VALUE"""),"CLASES DE ESCUELA DE BASQUETBOL")</f>
        <v>CLASES DE ESCUELA DE BASQUETBOL</v>
      </c>
      <c r="B8" s="46">
        <f ca="1">IFERROR(__xludf.DUMMYFUNCTION("""COMPUTED_VALUE"""),84)</f>
        <v>84</v>
      </c>
      <c r="C8" s="46" t="str">
        <f ca="1">IFERROR(__xludf.DUMMYFUNCTION("""COMPUTED_VALUE"""),"CLASES")</f>
        <v>CLASES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IFERROR(__xludf.DUMMYFUNCTION("""COMPUTED_VALUE"""),25)</f>
        <v>25</v>
      </c>
      <c r="G8" s="48">
        <f ca="1">IFERROR(__xludf.DUMMYFUNCTION("""COMPUTED_VALUE"""),8)</f>
        <v>8</v>
      </c>
      <c r="H8" s="48">
        <f ca="1">IFERROR(__xludf.DUMMYFUNCTION("""COMPUTED_VALUE"""),7)</f>
        <v>7</v>
      </c>
      <c r="I8" s="48">
        <f ca="1">IFERROR(__xludf.DUMMYFUNCTION("""COMPUTED_VALUE"""),6)</f>
        <v>6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IFERROR(__xludf.DUMMYFUNCTION("""COMPUTED_VALUE"""),21)</f>
        <v>21</v>
      </c>
    </row>
    <row r="9" spans="1:19">
      <c r="A9" s="46" t="str">
        <f ca="1">IFERROR(__xludf.DUMMYFUNCTION("""COMPUTED_VALUE"""),"CLASES ESCUELA VOLEYBOL")</f>
        <v>CLASES ESCUELA VOLEYBOL</v>
      </c>
      <c r="B9" s="46">
        <f ca="1">IFERROR(__xludf.DUMMYFUNCTION("""COMPUTED_VALUE"""),240)</f>
        <v>240</v>
      </c>
      <c r="C9" s="46" t="str">
        <f ca="1">IFERROR(__xludf.DUMMYFUNCTION("""COMPUTED_VALUE"""),"CLASES")</f>
        <v>CLASES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IFERROR(__xludf.DUMMYFUNCTION("""COMPUTED_VALUE"""),35.8333333333333)</f>
        <v>35.8333333333333</v>
      </c>
      <c r="G9" s="48">
        <f ca="1">IFERROR(__xludf.DUMMYFUNCTION("""COMPUTED_VALUE"""),37)</f>
        <v>37</v>
      </c>
      <c r="H9" s="48">
        <f ca="1">IFERROR(__xludf.DUMMYFUNCTION("""COMPUTED_VALUE"""),28)</f>
        <v>28</v>
      </c>
      <c r="I9" s="48">
        <f ca="1">IFERROR(__xludf.DUMMYFUNCTION("""COMPUTED_VALUE"""),21)</f>
        <v>21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IFERROR(__xludf.DUMMYFUNCTION("""COMPUTED_VALUE"""),86)</f>
        <v>86</v>
      </c>
    </row>
    <row r="10" spans="1:19">
      <c r="A10" s="46" t="str">
        <f ca="1">IFERROR(__xludf.DUMMYFUNCTION("""COMPUTED_VALUE"""),"CLASES ESCUELA DE BOX")</f>
        <v>CLASES ESCUELA DE BOX</v>
      </c>
      <c r="B10" s="46">
        <f ca="1">IFERROR(__xludf.DUMMYFUNCTION("""COMPUTED_VALUE"""),216)</f>
        <v>216</v>
      </c>
      <c r="C10" s="46" t="str">
        <f ca="1">IFERROR(__xludf.DUMMYFUNCTION("""COMPUTED_VALUE"""),"CLASES")</f>
        <v>CLASES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IFERROR(__xludf.DUMMYFUNCTION("""COMPUTED_VALUE"""),50.9259259259259)</f>
        <v>50.925925925925903</v>
      </c>
      <c r="G10" s="48">
        <f ca="1">IFERROR(__xludf.DUMMYFUNCTION("""COMPUTED_VALUE"""),46)</f>
        <v>46</v>
      </c>
      <c r="H10" s="48">
        <f ca="1">IFERROR(__xludf.DUMMYFUNCTION("""COMPUTED_VALUE"""),38)</f>
        <v>38</v>
      </c>
      <c r="I10" s="48">
        <f ca="1">IFERROR(__xludf.DUMMYFUNCTION("""COMPUTED_VALUE"""),26)</f>
        <v>26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IFERROR(__xludf.DUMMYFUNCTION("""COMPUTED_VALUE"""),110)</f>
        <v>110</v>
      </c>
    </row>
    <row r="11" spans="1:19">
      <c r="A11" s="46" t="str">
        <f ca="1">IFERROR(__xludf.DUMMYFUNCTION("""COMPUTED_VALUE"""),"CLASES ESCUELA DE NATACION")</f>
        <v>CLASES ESCUELA DE NATACION</v>
      </c>
      <c r="B11" s="46">
        <f ca="1">IFERROR(__xludf.DUMMYFUNCTION("""COMPUTED_VALUE"""),2088)</f>
        <v>2088</v>
      </c>
      <c r="C11" s="46" t="str">
        <f ca="1">IFERROR(__xludf.DUMMYFUNCTION("""COMPUTED_VALUE"""),"CLASES")</f>
        <v>CLASES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IFERROR(__xludf.DUMMYFUNCTION("""COMPUTED_VALUE"""),38.3620689655172)</f>
        <v>38.362068965517203</v>
      </c>
      <c r="G11" s="48">
        <f ca="1">IFERROR(__xludf.DUMMYFUNCTION("""COMPUTED_VALUE"""),414)</f>
        <v>414</v>
      </c>
      <c r="H11" s="48">
        <f ca="1">IFERROR(__xludf.DUMMYFUNCTION("""COMPUTED_VALUE"""),387)</f>
        <v>387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IFERROR(__xludf.DUMMYFUNCTION("""COMPUTED_VALUE"""),801)</f>
        <v>801</v>
      </c>
    </row>
    <row r="12" spans="1:19">
      <c r="A12" s="46" t="str">
        <f ca="1">IFERROR(__xludf.DUMMYFUNCTION("""COMPUTED_VALUE"""),"CLASES GIMNACIO MUNICIPAL")</f>
        <v>CLASES GIMNACIO MUNICIPAL</v>
      </c>
      <c r="B12" s="46">
        <f ca="1">IFERROR(__xludf.DUMMYFUNCTION("""COMPUTED_VALUE"""),864)</f>
        <v>864</v>
      </c>
      <c r="C12" s="46" t="str">
        <f ca="1">IFERROR(__xludf.DUMMYFUNCTION("""COMPUTED_VALUE"""),"CLASES")</f>
        <v>CLASES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IFERROR(__xludf.DUMMYFUNCTION("""COMPUTED_VALUE"""),12.9629629629629)</f>
        <v>12.9629629629629</v>
      </c>
      <c r="G12" s="48">
        <f ca="1">IFERROR(__xludf.DUMMYFUNCTION("""COMPUTED_VALUE"""),46)</f>
        <v>46</v>
      </c>
      <c r="H12" s="48">
        <f ca="1">IFERROR(__xludf.DUMMYFUNCTION("""COMPUTED_VALUE"""),38)</f>
        <v>38</v>
      </c>
      <c r="I12" s="48">
        <f ca="1">IFERROR(__xludf.DUMMYFUNCTION("""COMPUTED_VALUE"""),28)</f>
        <v>28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IFERROR(__xludf.DUMMYFUNCTION("""COMPUTED_VALUE"""),112)</f>
        <v>112</v>
      </c>
    </row>
    <row r="13" spans="1:19">
      <c r="A13" s="46" t="str">
        <f ca="1">IFERROR(__xludf.DUMMYFUNCTION("""COMPUTED_VALUE"""),"EVENTOS REALIZADOS")</f>
        <v>EVENTOS REALIZADOS</v>
      </c>
      <c r="B13" s="46">
        <f ca="1">IFERROR(__xludf.DUMMYFUNCTION("""COMPUTED_VALUE"""),48)</f>
        <v>48</v>
      </c>
      <c r="C13" s="46" t="str">
        <f ca="1">IFERROR(__xludf.DUMMYFUNCTION("""COMPUTED_VALUE"""),"CLASES")</f>
        <v>CLASES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IFERROR(__xludf.DUMMYFUNCTION("""COMPUTED_VALUE"""),4462.5)</f>
        <v>4462.5</v>
      </c>
      <c r="G13" s="48">
        <f ca="1">IFERROR(__xludf.DUMMYFUNCTION("""COMPUTED_VALUE"""),1346)</f>
        <v>1346</v>
      </c>
      <c r="H13" s="48">
        <f ca="1">IFERROR(__xludf.DUMMYFUNCTION("""COMPUTED_VALUE"""),0)</f>
        <v>0</v>
      </c>
      <c r="I13" s="48">
        <f ca="1">IFERROR(__xludf.DUMMYFUNCTION("""COMPUTED_VALUE"""),796)</f>
        <v>796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IFERROR(__xludf.DUMMYFUNCTION("""COMPUTED_VALUE"""),2142)</f>
        <v>2142</v>
      </c>
    </row>
    <row r="14" spans="1:19">
      <c r="A14" s="46" t="str">
        <f ca="1">IFERROR(__xludf.DUMMYFUNCTION("""COMPUTED_VALUE"""),"TOTAL DE PERSONAS BENEFICIADAS")</f>
        <v>TOTAL DE PERSONAS BENEFICIADAS</v>
      </c>
      <c r="B14" s="46">
        <f ca="1">IFERROR(__xludf.DUMMYFUNCTION("""COMPUTED_VALUE"""),16732)</f>
        <v>16732</v>
      </c>
      <c r="C14" s="46" t="str">
        <f ca="1">IFERROR(__xludf.DUMMYFUNCTION("""COMPUTED_VALUE"""),"PERSONAS")</f>
        <v>PERSONAS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IFERROR(__xludf.DUMMYFUNCTION("""COMPUTED_VALUE"""),"PROGRAMAS IMPLEMENTADOS")</f>
        <v>PROGRAMAS IMPLEMENTADOS</v>
      </c>
      <c r="B15" s="46">
        <f ca="1">IFERROR(__xludf.DUMMYFUNCTION("""COMPUTED_VALUE"""),28)</f>
        <v>28</v>
      </c>
      <c r="C15" s="46" t="str">
        <f ca="1">IFERROR(__xludf.DUMMYFUNCTION("""COMPUTED_VALUE"""),"PROGRAMAS")</f>
        <v>PROGRAMAS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IFERROR(__xludf.DUMMYFUNCTION("""COMPUTED_VALUE"""),"PERSONAS BENEFICIADAS")</f>
        <v>PERSONAS BENEFICIADAS</v>
      </c>
      <c r="B16" s="46">
        <f ca="1">IFERROR(__xludf.DUMMYFUNCTION("""COMPUTED_VALUE"""),3400)</f>
        <v>3400</v>
      </c>
      <c r="C16" s="46" t="str">
        <f ca="1">IFERROR(__xludf.DUMMYFUNCTION("""COMPUTED_VALUE"""),"PERSONAS")</f>
        <v>PERSONAS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IFERROR(__xludf.DUMMYFUNCTION("""COMPUTED_VALUE"""),0.0588235294117647)</f>
        <v>5.8823529411764698E-2</v>
      </c>
      <c r="G16" s="48">
        <f ca="1">IFERROR(__xludf.DUMMYFUNCTION("""COMPUTED_VALUE"""),1)</f>
        <v>1</v>
      </c>
      <c r="H16" s="48">
        <f ca="1">IFERROR(__xludf.DUMMYFUNCTION("""COMPUTED_VALUE"""),0)</f>
        <v>0</v>
      </c>
      <c r="I16" s="48">
        <f ca="1">IFERROR(__xludf.DUMMYFUNCTION("""COMPUTED_VALUE"""),1)</f>
        <v>1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IFERROR(__xludf.DUMMYFUNCTION("""COMPUTED_VALUE"""),2)</f>
        <v>2</v>
      </c>
    </row>
    <row r="17" spans="1:19">
      <c r="A17" s="46" t="str">
        <f ca="1">IFERROR(__xludf.DUMMYFUNCTION("""COMPUTED_VALUE"""),"PROGRAMAS IMPLEMENTADOS")</f>
        <v>PROGRAMAS IMPLEMENTADOS</v>
      </c>
      <c r="B17" s="46">
        <f ca="1">IFERROR(__xludf.DUMMYFUNCTION("""COMPUTED_VALUE"""),32)</f>
        <v>32</v>
      </c>
      <c r="C17" s="46" t="str">
        <f ca="1">IFERROR(__xludf.DUMMYFUNCTION("""COMPUTED_VALUE"""),"PROGRAMAS")</f>
        <v>PROGRAMAS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IFERROR(__xludf.DUMMYFUNCTION("""COMPUTED_VALUE"""),3.125)</f>
        <v>3.125</v>
      </c>
      <c r="G17" s="48">
        <f ca="1">IFERROR(__xludf.DUMMYFUNCTION("""COMPUTED_VALUE"""),1)</f>
        <v>1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IFERROR(__xludf.DUMMYFUNCTION("""COMPUTED_VALUE"""),1)</f>
        <v>1</v>
      </c>
    </row>
    <row r="18" spans="1:19">
      <c r="A18" s="46" t="str">
        <f ca="1">IFERROR(__xludf.DUMMYFUNCTION("""COMPUTED_VALUE"""),"ESCUELAS BENEFICIADAS")</f>
        <v>ESCUELAS BENEFICIADAS</v>
      </c>
      <c r="B18" s="46">
        <f ca="1">IFERROR(__xludf.DUMMYFUNCTION("""COMPUTED_VALUE"""),92)</f>
        <v>92</v>
      </c>
      <c r="C18" s="46" t="str">
        <f ca="1">IFERROR(__xludf.DUMMYFUNCTION("""COMPUTED_VALUE"""),"ESCUELAS")</f>
        <v>ESCUELAS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IFERROR(__xludf.DUMMYFUNCTION("""COMPUTED_VALUE"""),239.130434782608)</f>
        <v>239.13043478260801</v>
      </c>
      <c r="G18" s="48">
        <f ca="1">IFERROR(__xludf.DUMMYFUNCTION("""COMPUTED_VALUE"""),220)</f>
        <v>220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IFERROR(__xludf.DUMMYFUNCTION("""COMPUTED_VALUE"""),220)</f>
        <v>220</v>
      </c>
    </row>
    <row r="19" spans="1:19">
      <c r="A19" s="46" t="str">
        <f ca="1">IFERROR(__xludf.DUMMYFUNCTION("""COMPUTED_VALUE"""),"PERSONAS BENEFICIADAS")</f>
        <v>PERSONAS BENEFICIADAS</v>
      </c>
      <c r="B19" s="46">
        <f ca="1">IFERROR(__xludf.DUMMYFUNCTION("""COMPUTED_VALUE"""),48)</f>
        <v>48</v>
      </c>
      <c r="C19" s="46" t="str">
        <f ca="1">IFERROR(__xludf.DUMMYFUNCTION("""COMPUTED_VALUE"""),"PERSONAS")</f>
        <v>PERSONAS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IFERROR(__xludf.DUMMYFUNCTION("""COMPUTED_VALUE"""),10.4166666666666)</f>
        <v>10.4166666666666</v>
      </c>
      <c r="G19" s="48">
        <f ca="1">IFERROR(__xludf.DUMMYFUNCTION("""COMPUTED_VALUE"""),1)</f>
        <v>1</v>
      </c>
      <c r="H19" s="48">
        <f ca="1">IFERROR(__xludf.DUMMYFUNCTION("""COMPUTED_VALUE"""),1)</f>
        <v>1</v>
      </c>
      <c r="I19" s="48">
        <f ca="1">IFERROR(__xludf.DUMMYFUNCTION("""COMPUTED_VALUE"""),3)</f>
        <v>3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IFERROR(__xludf.DUMMYFUNCTION("""COMPUTED_VALUE"""),5)</f>
        <v>5</v>
      </c>
    </row>
    <row r="20" spans="1:19">
      <c r="A20" s="46" t="str">
        <f ca="1">IFERROR(__xludf.DUMMYFUNCTION("""COMPUTED_VALUE"""),"PROGRAMAS IMPLEMENTADOS")</f>
        <v>PROGRAMAS IMPLEMENTADOS</v>
      </c>
      <c r="B20" s="46">
        <f ca="1">IFERROR(__xludf.DUMMYFUNCTION("""COMPUTED_VALUE"""),2908)</f>
        <v>2908</v>
      </c>
      <c r="C20" s="46" t="str">
        <f ca="1">IFERROR(__xludf.DUMMYFUNCTION("""COMPUTED_VALUE"""),"PROGRAMAS")</f>
        <v>PROGRAMAS</v>
      </c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IFERROR(__xludf.DUMMYFUNCTION("""COMPUTED_VALUE"""),7.56533700137551)</f>
        <v>7.5653370013755099</v>
      </c>
      <c r="G20" s="48">
        <f ca="1">IFERROR(__xludf.DUMMYFUNCTION("""COMPUTED_VALUE"""),220)</f>
        <v>220</v>
      </c>
      <c r="H20" s="48">
        <f ca="1">IFERROR(__xludf.DUMMYFUNCTION("""COMPUTED_VALUE"""),0)</f>
        <v>0</v>
      </c>
      <c r="I20" s="48">
        <f ca="1">IFERROR(__xludf.DUMMYFUNCTION("""COMPUTED_VALUE"""),0)</f>
        <v>0</v>
      </c>
      <c r="J20" s="48">
        <f ca="1">IFERROR(__xludf.DUMMYFUNCTION("""COMPUTED_VALUE"""),0)</f>
        <v>0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IFERROR(__xludf.DUMMYFUNCTION("""COMPUTED_VALUE"""),220)</f>
        <v>220</v>
      </c>
    </row>
    <row r="21" spans="1:19">
      <c r="A21" s="46" t="str">
        <f ca="1">IFERROR(__xludf.DUMMYFUNCTION("""COMPUTED_VALUE"""),"PROGRAMAS IMPLEMENTADOS")</f>
        <v>PROGRAMAS IMPLEMENTADOS</v>
      </c>
      <c r="B21" s="46">
        <f ca="1">IFERROR(__xludf.DUMMYFUNCTION("""COMPUTED_VALUE"""),1)</f>
        <v>1</v>
      </c>
      <c r="C21" s="46" t="str">
        <f ca="1">IFERROR(__xludf.DUMMYFUNCTION("""COMPUTED_VALUE"""),"PROGRAMAS")</f>
        <v>PROGRAMAS</v>
      </c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IFERROR(__xludf.DUMMYFUNCTION("""COMPUTED_VALUE"""),500)</f>
        <v>500</v>
      </c>
      <c r="G21" s="48">
        <f ca="1">IFERROR(__xludf.DUMMYFUNCTION("""COMPUTED_VALUE"""),1)</f>
        <v>1</v>
      </c>
      <c r="H21" s="48">
        <f ca="1">IFERROR(__xludf.DUMMYFUNCTION("""COMPUTED_VALUE"""),1)</f>
        <v>1</v>
      </c>
      <c r="I21" s="48">
        <f ca="1">IFERROR(__xludf.DUMMYFUNCTION("""COMPUTED_VALUE"""),3)</f>
        <v>3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IFERROR(__xludf.DUMMYFUNCTION("""COMPUTED_VALUE"""),5)</f>
        <v>5</v>
      </c>
    </row>
    <row r="22" spans="1:19">
      <c r="A22" s="46" t="str">
        <f ca="1">IFERROR(__xludf.DUMMYFUNCTION("""COMPUTED_VALUE"""),"PERSONAS BENEFICIADAS")</f>
        <v>PERSONAS BENEFICIADAS</v>
      </c>
      <c r="B22" s="46">
        <f ca="1">IFERROR(__xludf.DUMMYFUNCTION("""COMPUTED_VALUE"""),1)</f>
        <v>1</v>
      </c>
      <c r="C22" s="46" t="str">
        <f ca="1">IFERROR(__xludf.DUMMYFUNCTION("""COMPUTED_VALUE"""),"PERSONAS")</f>
        <v>PERSONAS</v>
      </c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IFERROR(__xludf.DUMMYFUNCTION("""COMPUTED_VALUE"""),91000)</f>
        <v>91000</v>
      </c>
      <c r="G22" s="48">
        <f ca="1">IFERROR(__xludf.DUMMYFUNCTION("""COMPUTED_VALUE"""),29)</f>
        <v>29</v>
      </c>
      <c r="H22" s="48">
        <f ca="1">IFERROR(__xludf.DUMMYFUNCTION("""COMPUTED_VALUE"""),329)</f>
        <v>329</v>
      </c>
      <c r="I22" s="48">
        <f ca="1">IFERROR(__xludf.DUMMYFUNCTION("""COMPUTED_VALUE"""),552)</f>
        <v>552</v>
      </c>
      <c r="J22" s="48">
        <f ca="1">IFERROR(__xludf.DUMMYFUNCTION("""COMPUTED_VALUE"""),0)</f>
        <v>0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IFERROR(__xludf.DUMMYFUNCTION("""COMPUTED_VALUE"""),0)</f>
        <v>0</v>
      </c>
      <c r="N22" s="48">
        <f ca="1">IFERROR(__xludf.DUMMYFUNCTION("""COMPUTED_VALUE"""),0)</f>
        <v>0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IFERROR(__xludf.DUMMYFUNCTION("""COMPUTED_VALUE"""),910)</f>
        <v>910</v>
      </c>
    </row>
    <row r="23" spans="1:19">
      <c r="A23" s="46" t="str">
        <f ca="1">IFERROR(__xludf.DUMMYFUNCTION("""COMPUTED_VALUE"""),"EVENTOS REALIZADOS ")</f>
        <v xml:space="preserve">EVENTOS REALIZADOS </v>
      </c>
      <c r="B23" s="46">
        <f ca="1">IFERROR(__xludf.DUMMYFUNCTION("""COMPUTED_VALUE"""),28)</f>
        <v>28</v>
      </c>
      <c r="C23" s="46" t="str">
        <f ca="1">IFERROR(__xludf.DUMMYFUNCTION("""COMPUTED_VALUE"""),"EVENTOS")</f>
        <v>EVENTOS</v>
      </c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IFERROR(__xludf.DUMMYFUNCTION("""COMPUTED_VALUE"""),10.7142857142857)</f>
        <v>10.714285714285699</v>
      </c>
      <c r="G23" s="48">
        <f ca="1">IFERROR(__xludf.DUMMYFUNCTION("""COMPUTED_VALUE"""),1)</f>
        <v>1</v>
      </c>
      <c r="H23" s="48">
        <f ca="1">IFERROR(__xludf.DUMMYFUNCTION("""COMPUTED_VALUE"""),2)</f>
        <v>2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IFERROR(__xludf.DUMMYFUNCTION("""COMPUTED_VALUE"""),0)</f>
        <v>0</v>
      </c>
      <c r="N23" s="48">
        <f ca="1">IFERROR(__xludf.DUMMYFUNCTION("""COMPUTED_VALUE"""),0)</f>
        <v>0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IFERROR(__xludf.DUMMYFUNCTION("""COMPUTED_VALUE"""),0)</f>
        <v>0</v>
      </c>
      <c r="S23" s="48">
        <f ca="1">IFERROR(__xludf.DUMMYFUNCTION("""COMPUTED_VALUE"""),3)</f>
        <v>3</v>
      </c>
    </row>
    <row r="24" spans="1:19">
      <c r="A24" s="46" t="str">
        <f ca="1">IFERROR(__xludf.DUMMYFUNCTION("""COMPUTED_VALUE"""),"PERSONAS BENEFICIADAS")</f>
        <v>PERSONAS BENEFICIADAS</v>
      </c>
      <c r="B24" s="46">
        <f ca="1">IFERROR(__xludf.DUMMYFUNCTION("""COMPUTED_VALUE"""),4040)</f>
        <v>4040</v>
      </c>
      <c r="C24" s="46" t="str">
        <f ca="1">IFERROR(__xludf.DUMMYFUNCTION("""COMPUTED_VALUE"""),"PERSONAS")</f>
        <v>PERSONAS</v>
      </c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IFERROR(__xludf.DUMMYFUNCTION("""COMPUTED_VALUE"""),54.3316831683168)</f>
        <v>54.3316831683168</v>
      </c>
      <c r="G24" s="48">
        <f ca="1">IFERROR(__xludf.DUMMYFUNCTION("""COMPUTED_VALUE"""),15)</f>
        <v>15</v>
      </c>
      <c r="H24" s="48">
        <f ca="1">IFERROR(__xludf.DUMMYFUNCTION("""COMPUTED_VALUE"""),1550)</f>
        <v>1550</v>
      </c>
      <c r="I24" s="48">
        <f ca="1">IFERROR(__xludf.DUMMYFUNCTION("""COMPUTED_VALUE"""),630)</f>
        <v>630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IFERROR(__xludf.DUMMYFUNCTION("""COMPUTED_VALUE"""),0)</f>
        <v>0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IFERROR(__xludf.DUMMYFUNCTION("""COMPUTED_VALUE"""),2195)</f>
        <v>2195</v>
      </c>
    </row>
    <row r="25" spans="1:19">
      <c r="A25" s="46" t="str">
        <f ca="1">IFERROR(__xludf.DUMMYFUNCTION("""COMPUTED_VALUE"""),"M2 REALIZADOS")</f>
        <v>M2 REALIZADOS</v>
      </c>
      <c r="B25" s="46">
        <f ca="1">IFERROR(__xludf.DUMMYFUNCTION("""COMPUTED_VALUE"""),24)</f>
        <v>24</v>
      </c>
      <c r="C25" s="46" t="str">
        <f ca="1">IFERROR(__xludf.DUMMYFUNCTION("""COMPUTED_VALUE"""),"M2")</f>
        <v>M2</v>
      </c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IFERROR(__xludf.DUMMYFUNCTION("""COMPUTED_VALUE"""),12.5)</f>
        <v>12.5</v>
      </c>
      <c r="G25" s="48">
        <f ca="1">IFERROR(__xludf.DUMMYFUNCTION("""COMPUTED_VALUE"""),1)</f>
        <v>1</v>
      </c>
      <c r="H25" s="48">
        <f ca="1">IFERROR(__xludf.DUMMYFUNCTION("""COMPUTED_VALUE"""),1)</f>
        <v>1</v>
      </c>
      <c r="I25" s="48">
        <f ca="1">IFERROR(__xludf.DUMMYFUNCTION("""COMPUTED_VALUE"""),1)</f>
        <v>1</v>
      </c>
      <c r="J25" s="48">
        <f ca="1">IFERROR(__xludf.DUMMYFUNCTION("""COMPUTED_VALUE"""),0)</f>
        <v>0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IFERROR(__xludf.DUMMYFUNCTION("""COMPUTED_VALUE"""),3)</f>
        <v>3</v>
      </c>
    </row>
    <row r="26" spans="1:19">
      <c r="A26" s="46" t="str">
        <f ca="1">IFERROR(__xludf.DUMMYFUNCTION("""COMPUTED_VALUE"""),"MURALES TERMINADOS")</f>
        <v>MURALES TERMINADOS</v>
      </c>
      <c r="B26" s="46">
        <f ca="1">IFERROR(__xludf.DUMMYFUNCTION("""COMPUTED_VALUE"""),24)</f>
        <v>24</v>
      </c>
      <c r="C26" s="46" t="str">
        <f ca="1">IFERROR(__xludf.DUMMYFUNCTION("""COMPUTED_VALUE"""),"MURALES")</f>
        <v>MURALES</v>
      </c>
      <c r="D26" s="46" t="str">
        <f ca="1">IFERROR(__xludf.DUMMYFUNCTION("""COMPUTED_VALUE"""),"ASCENDENTE")</f>
        <v>ASCENDENTE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IFERROR(__xludf.DUMMYFUNCTION("""COMPUTED_VALUE"""),8.33333333333333)</f>
        <v>8.3333333333333304</v>
      </c>
      <c r="G26" s="48">
        <f ca="1">IFERROR(__xludf.DUMMYFUNCTION("""COMPUTED_VALUE"""),1)</f>
        <v>1</v>
      </c>
      <c r="H26" s="48">
        <f ca="1">IFERROR(__xludf.DUMMYFUNCTION("""COMPUTED_VALUE"""),1)</f>
        <v>1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IFERROR(__xludf.DUMMYFUNCTION("""COMPUTED_VALUE"""),0)</f>
        <v>0</v>
      </c>
      <c r="L26" s="48">
        <f ca="1">IFERROR(__xludf.DUMMYFUNCTION("""COMPUTED_VALUE"""),0)</f>
        <v>0</v>
      </c>
      <c r="M26" s="48">
        <f ca="1">IFERROR(__xludf.DUMMYFUNCTION("""COMPUTED_VALUE"""),0)</f>
        <v>0</v>
      </c>
      <c r="N26" s="48">
        <f ca="1">IFERROR(__xludf.DUMMYFUNCTION("""COMPUTED_VALUE"""),0)</f>
        <v>0</v>
      </c>
      <c r="O26" s="48">
        <f ca="1">IFERROR(__xludf.DUMMYFUNCTION("""COMPUTED_VALUE"""),0)</f>
        <v>0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IFERROR(__xludf.DUMMYFUNCTION("""COMPUTED_VALUE"""),2)</f>
        <v>2</v>
      </c>
    </row>
    <row r="27" spans="1:19">
      <c r="A27" s="46" t="str">
        <f ca="1">IFERROR(__xludf.DUMMYFUNCTION("""COMPUTED_VALUE"""),"TALLERES REALIZADOS")</f>
        <v>TALLERES REALIZADOS</v>
      </c>
      <c r="B27" s="46">
        <f ca="1">IFERROR(__xludf.DUMMYFUNCTION("""COMPUTED_VALUE"""),23)</f>
        <v>23</v>
      </c>
      <c r="C27" s="46" t="str">
        <f ca="1">IFERROR(__xludf.DUMMYFUNCTION("""COMPUTED_VALUE"""),"TALLERES")</f>
        <v>TALLERES</v>
      </c>
      <c r="D27" s="46" t="str">
        <f ca="1">IFERROR(__xludf.DUMMYFUNCTION("""COMPUTED_VALUE"""),"ASCENDENTE")</f>
        <v>ASCENDENTE</v>
      </c>
      <c r="E27" s="46" t="str">
        <f ca="1">IFERROR(__xludf.DUMMYFUNCTION("""COMPUTED_VALUE"""),"BITACORA OPERATIVA")</f>
        <v>BITACORA OPERATIVA</v>
      </c>
      <c r="F27" s="47">
        <f ca="1">IFERROR(__xludf.DUMMYFUNCTION("""COMPUTED_VALUE"""),273.91304347826)</f>
        <v>273.91304347826002</v>
      </c>
      <c r="G27" s="48">
        <f ca="1">IFERROR(__xludf.DUMMYFUNCTION("""COMPUTED_VALUE"""),21)</f>
        <v>21</v>
      </c>
      <c r="H27" s="48">
        <f ca="1">IFERROR(__xludf.DUMMYFUNCTION("""COMPUTED_VALUE"""),21)</f>
        <v>21</v>
      </c>
      <c r="I27" s="48">
        <f ca="1">IFERROR(__xludf.DUMMYFUNCTION("""COMPUTED_VALUE"""),21)</f>
        <v>21</v>
      </c>
      <c r="J27" s="48">
        <f ca="1">IFERROR(__xludf.DUMMYFUNCTION("""COMPUTED_VALUE"""),0)</f>
        <v>0</v>
      </c>
      <c r="K27" s="48">
        <f ca="1">IFERROR(__xludf.DUMMYFUNCTION("""COMPUTED_VALUE"""),0)</f>
        <v>0</v>
      </c>
      <c r="L27" s="48">
        <f ca="1">IFERROR(__xludf.DUMMYFUNCTION("""COMPUTED_VALUE"""),0)</f>
        <v>0</v>
      </c>
      <c r="M27" s="48">
        <f ca="1">IFERROR(__xludf.DUMMYFUNCTION("""COMPUTED_VALUE"""),0)</f>
        <v>0</v>
      </c>
      <c r="N27" s="48">
        <f ca="1">IFERROR(__xludf.DUMMYFUNCTION("""COMPUTED_VALUE"""),0)</f>
        <v>0</v>
      </c>
      <c r="O27" s="48">
        <f ca="1">IFERROR(__xludf.DUMMYFUNCTION("""COMPUTED_VALUE"""),0)</f>
        <v>0</v>
      </c>
      <c r="P27" s="48">
        <f ca="1">IFERROR(__xludf.DUMMYFUNCTION("""COMPUTED_VALUE"""),0)</f>
        <v>0</v>
      </c>
      <c r="Q27" s="48">
        <f ca="1">IFERROR(__xludf.DUMMYFUNCTION("""COMPUTED_VALUE"""),0)</f>
        <v>0</v>
      </c>
      <c r="R27" s="48">
        <f ca="1">IFERROR(__xludf.DUMMYFUNCTION("""COMPUTED_VALUE"""),0)</f>
        <v>0</v>
      </c>
      <c r="S27" s="48">
        <f ca="1">IFERROR(__xludf.DUMMYFUNCTION("""COMPUTED_VALUE"""),63)</f>
        <v>63</v>
      </c>
    </row>
    <row r="28" spans="1:19">
      <c r="A28" s="46" t="str">
        <f ca="1">IFERROR(__xludf.DUMMYFUNCTION("""COMPUTED_VALUE"""),"PERSONAS BENEFICIADAS")</f>
        <v>PERSONAS BENEFICIADAS</v>
      </c>
      <c r="B28" s="46">
        <f ca="1">IFERROR(__xludf.DUMMYFUNCTION("""COMPUTED_VALUE"""),4260)</f>
        <v>4260</v>
      </c>
      <c r="C28" s="46" t="str">
        <f ca="1">IFERROR(__xludf.DUMMYFUNCTION("""COMPUTED_VALUE"""),"PERSONAS")</f>
        <v>PERSONAS</v>
      </c>
      <c r="D28" s="46" t="str">
        <f ca="1">IFERROR(__xludf.DUMMYFUNCTION("""COMPUTED_VALUE"""),"ASCENDENTE")</f>
        <v>ASCENDENTE</v>
      </c>
      <c r="E28" s="46" t="str">
        <f ca="1">IFERROR(__xludf.DUMMYFUNCTION("""COMPUTED_VALUE"""),"BITACORA OPERATIVA")</f>
        <v>BITACORA OPERATIVA</v>
      </c>
      <c r="F28" s="47">
        <f ca="1">IFERROR(__xludf.DUMMYFUNCTION("""COMPUTED_VALUE"""),23.5915492957746)</f>
        <v>23.591549295774598</v>
      </c>
      <c r="G28" s="48">
        <f ca="1">IFERROR(__xludf.DUMMYFUNCTION("""COMPUTED_VALUE"""),364)</f>
        <v>364</v>
      </c>
      <c r="H28" s="48">
        <f ca="1">IFERROR(__xludf.DUMMYFUNCTION("""COMPUTED_VALUE"""),345)</f>
        <v>345</v>
      </c>
      <c r="I28" s="48">
        <f ca="1">IFERROR(__xludf.DUMMYFUNCTION("""COMPUTED_VALUE"""),296)</f>
        <v>296</v>
      </c>
      <c r="J28" s="48">
        <f ca="1">IFERROR(__xludf.DUMMYFUNCTION("""COMPUTED_VALUE"""),0)</f>
        <v>0</v>
      </c>
      <c r="K28" s="48">
        <f ca="1">IFERROR(__xludf.DUMMYFUNCTION("""COMPUTED_VALUE"""),0)</f>
        <v>0</v>
      </c>
      <c r="L28" s="48">
        <f ca="1">IFERROR(__xludf.DUMMYFUNCTION("""COMPUTED_VALUE"""),0)</f>
        <v>0</v>
      </c>
      <c r="M28" s="48">
        <f ca="1">IFERROR(__xludf.DUMMYFUNCTION("""COMPUTED_VALUE"""),0)</f>
        <v>0</v>
      </c>
      <c r="N28" s="48">
        <f ca="1">IFERROR(__xludf.DUMMYFUNCTION("""COMPUTED_VALUE"""),0)</f>
        <v>0</v>
      </c>
      <c r="O28" s="48">
        <f ca="1">IFERROR(__xludf.DUMMYFUNCTION("""COMPUTED_VALUE"""),0)</f>
        <v>0</v>
      </c>
      <c r="P28" s="48">
        <f ca="1">IFERROR(__xludf.DUMMYFUNCTION("""COMPUTED_VALUE"""),0)</f>
        <v>0</v>
      </c>
      <c r="Q28" s="48">
        <f ca="1">IFERROR(__xludf.DUMMYFUNCTION("""COMPUTED_VALUE"""),0)</f>
        <v>0</v>
      </c>
      <c r="R28" s="48">
        <f ca="1">IFERROR(__xludf.DUMMYFUNCTION("""COMPUTED_VALUE"""),0)</f>
        <v>0</v>
      </c>
      <c r="S28" s="48">
        <f ca="1">IFERROR(__xludf.DUMMYFUNCTION("""COMPUTED_VALUE"""),1005)</f>
        <v>1005</v>
      </c>
    </row>
    <row r="29" spans="1:19">
      <c r="A29" s="46" t="str">
        <f ca="1">IFERROR(__xludf.DUMMYFUNCTION("""COMPUTED_VALUE"""),"TALLERES REALIZADOS")</f>
        <v>TALLERES REALIZADOS</v>
      </c>
      <c r="B29" s="46">
        <f ca="1">IFERROR(__xludf.DUMMYFUNCTION("""COMPUTED_VALUE"""),10)</f>
        <v>10</v>
      </c>
      <c r="C29" s="46" t="str">
        <f ca="1">IFERROR(__xludf.DUMMYFUNCTION("""COMPUTED_VALUE"""),"TALLERES")</f>
        <v>TALLERES</v>
      </c>
      <c r="D29" s="46" t="str">
        <f ca="1">IFERROR(__xludf.DUMMYFUNCTION("""COMPUTED_VALUE"""),"ASCENDENTE")</f>
        <v>ASCENDENTE</v>
      </c>
      <c r="E29" s="46" t="str">
        <f ca="1">IFERROR(__xludf.DUMMYFUNCTION("""COMPUTED_VALUE"""),"BITACORA OPERATIVA")</f>
        <v>BITACORA OPERATIVA</v>
      </c>
      <c r="F29" s="47">
        <f ca="1">IFERROR(__xludf.DUMMYFUNCTION("""COMPUTED_VALUE"""),280)</f>
        <v>280</v>
      </c>
      <c r="G29" s="48">
        <f ca="1">IFERROR(__xludf.DUMMYFUNCTION("""COMPUTED_VALUE"""),14)</f>
        <v>14</v>
      </c>
      <c r="H29" s="48">
        <f ca="1">IFERROR(__xludf.DUMMYFUNCTION("""COMPUTED_VALUE"""),14)</f>
        <v>14</v>
      </c>
      <c r="I29" s="48">
        <f ca="1">IFERROR(__xludf.DUMMYFUNCTION("""COMPUTED_VALUE"""),0)</f>
        <v>0</v>
      </c>
      <c r="J29" s="48">
        <f ca="1">IFERROR(__xludf.DUMMYFUNCTION("""COMPUTED_VALUE"""),0)</f>
        <v>0</v>
      </c>
      <c r="K29" s="48">
        <f ca="1">IFERROR(__xludf.DUMMYFUNCTION("""COMPUTED_VALUE"""),0)</f>
        <v>0</v>
      </c>
      <c r="L29" s="48">
        <f ca="1">IFERROR(__xludf.DUMMYFUNCTION("""COMPUTED_VALUE"""),0)</f>
        <v>0</v>
      </c>
      <c r="M29" s="48">
        <f ca="1">IFERROR(__xludf.DUMMYFUNCTION("""COMPUTED_VALUE"""),0)</f>
        <v>0</v>
      </c>
      <c r="N29" s="48">
        <f ca="1">IFERROR(__xludf.DUMMYFUNCTION("""COMPUTED_VALUE"""),0)</f>
        <v>0</v>
      </c>
      <c r="O29" s="48">
        <f ca="1">IFERROR(__xludf.DUMMYFUNCTION("""COMPUTED_VALUE"""),0)</f>
        <v>0</v>
      </c>
      <c r="P29" s="48">
        <f ca="1">IFERROR(__xludf.DUMMYFUNCTION("""COMPUTED_VALUE"""),0)</f>
        <v>0</v>
      </c>
      <c r="Q29" s="48">
        <f ca="1">IFERROR(__xludf.DUMMYFUNCTION("""COMPUTED_VALUE"""),0)</f>
        <v>0</v>
      </c>
      <c r="R29" s="48">
        <f ca="1">IFERROR(__xludf.DUMMYFUNCTION("""COMPUTED_VALUE"""),0)</f>
        <v>0</v>
      </c>
      <c r="S29" s="48">
        <f ca="1">IFERROR(__xludf.DUMMYFUNCTION("""COMPUTED_VALUE"""),28)</f>
        <v>28</v>
      </c>
    </row>
    <row r="30" spans="1:19">
      <c r="A30" s="46" t="str">
        <f ca="1">IFERROR(__xludf.DUMMYFUNCTION("""COMPUTED_VALUE"""),"PERSONAS BENEFICIADAS")</f>
        <v>PERSONAS BENEFICIADAS</v>
      </c>
      <c r="B30" s="46">
        <f ca="1">IFERROR(__xludf.DUMMYFUNCTION("""COMPUTED_VALUE"""),1620)</f>
        <v>1620</v>
      </c>
      <c r="C30" s="46" t="str">
        <f ca="1">IFERROR(__xludf.DUMMYFUNCTION("""COMPUTED_VALUE"""),"PERSONAS")</f>
        <v>PERSONAS</v>
      </c>
      <c r="D30" s="46" t="str">
        <f ca="1">IFERROR(__xludf.DUMMYFUNCTION("""COMPUTED_VALUE"""),"ASCENDENTE")</f>
        <v>ASCENDENTE</v>
      </c>
      <c r="E30" s="46" t="str">
        <f ca="1">IFERROR(__xludf.DUMMYFUNCTION("""COMPUTED_VALUE"""),"BITACORA OPERATIVA")</f>
        <v>BITACORA OPERATIVA</v>
      </c>
      <c r="F30" s="47">
        <f ca="1">IFERROR(__xludf.DUMMYFUNCTION("""COMPUTED_VALUE"""),47.8395061728395)</f>
        <v>47.839506172839499</v>
      </c>
      <c r="G30" s="48">
        <f ca="1">IFERROR(__xludf.DUMMYFUNCTION("""COMPUTED_VALUE"""),303)</f>
        <v>303</v>
      </c>
      <c r="H30" s="48">
        <f ca="1">IFERROR(__xludf.DUMMYFUNCTION("""COMPUTED_VALUE"""),261)</f>
        <v>261</v>
      </c>
      <c r="I30" s="48">
        <f ca="1">IFERROR(__xludf.DUMMYFUNCTION("""COMPUTED_VALUE"""),211)</f>
        <v>211</v>
      </c>
      <c r="J30" s="48">
        <f ca="1">IFERROR(__xludf.DUMMYFUNCTION("""COMPUTED_VALUE"""),0)</f>
        <v>0</v>
      </c>
      <c r="K30" s="48">
        <f ca="1">IFERROR(__xludf.DUMMYFUNCTION("""COMPUTED_VALUE"""),0)</f>
        <v>0</v>
      </c>
      <c r="L30" s="48">
        <f ca="1">IFERROR(__xludf.DUMMYFUNCTION("""COMPUTED_VALUE"""),0)</f>
        <v>0</v>
      </c>
      <c r="M30" s="48">
        <f ca="1">IFERROR(__xludf.DUMMYFUNCTION("""COMPUTED_VALUE"""),0)</f>
        <v>0</v>
      </c>
      <c r="N30" s="48">
        <f ca="1">IFERROR(__xludf.DUMMYFUNCTION("""COMPUTED_VALUE"""),0)</f>
        <v>0</v>
      </c>
      <c r="O30" s="48">
        <f ca="1">IFERROR(__xludf.DUMMYFUNCTION("""COMPUTED_VALUE"""),0)</f>
        <v>0</v>
      </c>
      <c r="P30" s="48">
        <f ca="1">IFERROR(__xludf.DUMMYFUNCTION("""COMPUTED_VALUE"""),0)</f>
        <v>0</v>
      </c>
      <c r="Q30" s="48">
        <f ca="1">IFERROR(__xludf.DUMMYFUNCTION("""COMPUTED_VALUE"""),0)</f>
        <v>0</v>
      </c>
      <c r="R30" s="48">
        <f ca="1">IFERROR(__xludf.DUMMYFUNCTION("""COMPUTED_VALUE"""),0)</f>
        <v>0</v>
      </c>
      <c r="S30" s="48">
        <f ca="1">IFERROR(__xludf.DUMMYFUNCTION("""COMPUTED_VALUE"""),775)</f>
        <v>775</v>
      </c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cols>
    <col min="5" max="5" width="20" customWidth="1"/>
  </cols>
  <sheetData>
    <row r="1" spans="1:19">
      <c r="A1" s="46" t="str">
        <f ca="1">IFERROR(__xludf.DUMMYFUNCTION("IMPORTRANGE(""https://docs.google.com/spreadsheets/d/1iB1jyWAJyZ7e3O1bmLTdLl18y4kbu3po3PUU4JQdxnQ/edit?gid=1552568037#gid=1552568037"",""01!A1:S"")"),"INDICADORES")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IFERROR(__xludf.DUMMYFUNCTION("""COMPUTED_VALUE"""),"MANTENIMIENTO A INFRAESTRUCTURA DE AGUA POTABLE")</f>
        <v>MANTENIMIENTO A INFRAESTRUCTURA DE AGUA POTABLE</v>
      </c>
      <c r="B2" s="46">
        <f ca="1">IFERROR(__xludf.DUMMYFUNCTION("""COMPUTED_VALUE"""),360)</f>
        <v>360</v>
      </c>
      <c r="C2" s="46" t="str">
        <f ca="1">IFERROR(__xludf.DUMMYFUNCTION("""COMPUTED_VALUE"""),"MANTENIMEINTO A INFRAESTRUCTURA")</f>
        <v>MANTENIMEINTO A INFRAESTRUCTURA</v>
      </c>
      <c r="D2" s="46" t="str">
        <f ca="1">IFERROR(__xludf.DUMMYFUNCTION("""COMPUTED_VALUE"""),"ASCENDENTE")</f>
        <v>ASCENDENTE</v>
      </c>
      <c r="E2" s="46" t="str">
        <f ca="1">IFERROR(__xludf.DUMMYFUNCTION("""COMPUTED_VALUE"""),"BITACORA DE ATENCION")</f>
        <v>BITACORA DE ATENCION</v>
      </c>
      <c r="F2" s="47">
        <f ca="1">IFERROR(__xludf.DUMMYFUNCTION("""COMPUTED_VALUE"""),73.0555555555555)</f>
        <v>73.0555555555555</v>
      </c>
      <c r="G2" s="48">
        <f ca="1">IFERROR(__xludf.DUMMYFUNCTION("""COMPUTED_VALUE"""),10)</f>
        <v>10</v>
      </c>
      <c r="H2" s="48">
        <f ca="1">IFERROR(__xludf.DUMMYFUNCTION("""COMPUTED_VALUE"""),8)</f>
        <v>8</v>
      </c>
      <c r="I2" s="48">
        <f ca="1">IFERROR(__xludf.DUMMYFUNCTION("""COMPUTED_VALUE"""),7)</f>
        <v>7</v>
      </c>
      <c r="J2" s="48">
        <f ca="1">IFERROR(__xludf.DUMMYFUNCTION("""COMPUTED_VALUE"""),8)</f>
        <v>8</v>
      </c>
      <c r="K2" s="48">
        <f ca="1">IFERROR(__xludf.DUMMYFUNCTION("""COMPUTED_VALUE"""),9)</f>
        <v>9</v>
      </c>
      <c r="L2" s="48">
        <f ca="1">IFERROR(__xludf.DUMMYFUNCTION("""COMPUTED_VALUE"""),10)</f>
        <v>10</v>
      </c>
      <c r="M2" s="48">
        <f ca="1">IFERROR(__xludf.DUMMYFUNCTION("""COMPUTED_VALUE"""),37)</f>
        <v>37</v>
      </c>
      <c r="N2" s="48">
        <f ca="1">IFERROR(__xludf.DUMMYFUNCTION("""COMPUTED_VALUE"""),37)</f>
        <v>37</v>
      </c>
      <c r="O2" s="48">
        <f ca="1">IFERROR(__xludf.DUMMYFUNCTION("""COMPUTED_VALUE"""),32)</f>
        <v>32</v>
      </c>
      <c r="P2" s="48">
        <f ca="1">IFERROR(__xludf.DUMMYFUNCTION("""COMPUTED_VALUE"""),51)</f>
        <v>51</v>
      </c>
      <c r="Q2" s="48">
        <f ca="1">IFERROR(__xludf.DUMMYFUNCTION("""COMPUTED_VALUE"""),37)</f>
        <v>37</v>
      </c>
      <c r="R2" s="48">
        <f ca="1">IFERROR(__xludf.DUMMYFUNCTION("""COMPUTED_VALUE"""),17)</f>
        <v>17</v>
      </c>
      <c r="S2" s="48">
        <f ca="1">IFERROR(__xludf.DUMMYFUNCTION("""COMPUTED_VALUE"""),263)</f>
        <v>263</v>
      </c>
    </row>
    <row r="3" spans="1:19">
      <c r="A3" s="46" t="str">
        <f ca="1">IFERROR(__xludf.DUMMYFUNCTION("""COMPUTED_VALUE"""),"REPORTES FUGAS DE AGUA")</f>
        <v>REPORTES FUGAS DE AGUA</v>
      </c>
      <c r="B3" s="46">
        <f ca="1">IFERROR(__xludf.DUMMYFUNCTION("""COMPUTED_VALUE"""),800)</f>
        <v>800</v>
      </c>
      <c r="C3" s="46" t="str">
        <f ca="1">IFERROR(__xludf.DUMMYFUNCTION("""COMPUTED_VALUE"""),"REPORTES ATENDIDOS")</f>
        <v>REPORTES ATENDIDOS</v>
      </c>
      <c r="D3" s="46" t="str">
        <f ca="1">IFERROR(__xludf.DUMMYFUNCTION("""COMPUTED_VALUE"""),"DESCENDENTE")</f>
        <v>DESCENDENTE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IFERROR(__xludf.DUMMYFUNCTION("""COMPUTED_VALUE"""),169.5)</f>
        <v>169.5</v>
      </c>
      <c r="G3" s="48">
        <f ca="1">IFERROR(__xludf.DUMMYFUNCTION("""COMPUTED_VALUE"""),250)</f>
        <v>250</v>
      </c>
      <c r="H3" s="48">
        <f ca="1">IFERROR(__xludf.DUMMYFUNCTION("""COMPUTED_VALUE"""),285)</f>
        <v>285</v>
      </c>
      <c r="I3" s="48">
        <f ca="1">IFERROR(__xludf.DUMMYFUNCTION("""COMPUTED_VALUE"""),198)</f>
        <v>198</v>
      </c>
      <c r="J3" s="48">
        <f ca="1">IFERROR(__xludf.DUMMYFUNCTION("""COMPUTED_VALUE"""),71)</f>
        <v>71</v>
      </c>
      <c r="K3" s="48">
        <f ca="1">IFERROR(__xludf.DUMMYFUNCTION("""COMPUTED_VALUE"""),70)</f>
        <v>70</v>
      </c>
      <c r="L3" s="48">
        <f ca="1">IFERROR(__xludf.DUMMYFUNCTION("""COMPUTED_VALUE"""),0)</f>
        <v>0</v>
      </c>
      <c r="M3" s="48">
        <f ca="1">IFERROR(__xludf.DUMMYFUNCTION("""COMPUTED_VALUE"""),70)</f>
        <v>70</v>
      </c>
      <c r="N3" s="48">
        <f ca="1">IFERROR(__xludf.DUMMYFUNCTION("""COMPUTED_VALUE"""),71)</f>
        <v>71</v>
      </c>
      <c r="O3" s="48">
        <f ca="1">IFERROR(__xludf.DUMMYFUNCTION("""COMPUTED_VALUE"""),74)</f>
        <v>74</v>
      </c>
      <c r="P3" s="48">
        <f ca="1">IFERROR(__xludf.DUMMYFUNCTION("""COMPUTED_VALUE"""),127)</f>
        <v>127</v>
      </c>
      <c r="Q3" s="48">
        <f ca="1">IFERROR(__xludf.DUMMYFUNCTION("""COMPUTED_VALUE"""),82)</f>
        <v>82</v>
      </c>
      <c r="R3" s="48">
        <f ca="1">IFERROR(__xludf.DUMMYFUNCTION("""COMPUTED_VALUE"""),58)</f>
        <v>58</v>
      </c>
      <c r="S3" s="48">
        <f ca="1">IFERROR(__xludf.DUMMYFUNCTION("""COMPUTED_VALUE"""),1356)</f>
        <v>1356</v>
      </c>
    </row>
    <row r="4" spans="1:19">
      <c r="A4" s="46" t="str">
        <f ca="1">IFERROR(__xludf.DUMMYFUNCTION("""COMPUTED_VALUE"""),"RECONEXIONES TOMAS DE AGUA")</f>
        <v>RECONEXIONES TOMAS DE AGUA</v>
      </c>
      <c r="B4" s="46">
        <f ca="1">IFERROR(__xludf.DUMMYFUNCTION("""COMPUTED_VALUE"""),60)</f>
        <v>60</v>
      </c>
      <c r="C4" s="46" t="str">
        <f ca="1">IFERROR(__xludf.DUMMYFUNCTION("""COMPUTED_VALUE"""),"RECONEXIONES DE TOMAS")</f>
        <v>RECONEXIONES DE TOMAS</v>
      </c>
      <c r="D4" s="46" t="str">
        <f ca="1">IFERROR(__xludf.DUMMYFUNCTION("""COMPUTED_VALUE"""),"DESCENDENTE")</f>
        <v>DESCENDENTE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IFERROR(__xludf.DUMMYFUNCTION("""COMPUTED_VALUE"""),126.666666666666)</f>
        <v>126.666666666666</v>
      </c>
      <c r="G4" s="48">
        <f ca="1">IFERROR(__xludf.DUMMYFUNCTION("""COMPUTED_VALUE"""),20)</f>
        <v>20</v>
      </c>
      <c r="H4" s="48">
        <f ca="1">IFERROR(__xludf.DUMMYFUNCTION("""COMPUTED_VALUE"""),30)</f>
        <v>30</v>
      </c>
      <c r="I4" s="48">
        <f ca="1">IFERROR(__xludf.DUMMYFUNCTION("""COMPUTED_VALUE"""),0)</f>
        <v>0</v>
      </c>
      <c r="J4" s="48">
        <f ca="1">IFERROR(__xludf.DUMMYFUNCTION("""COMPUTED_VALUE"""),5)</f>
        <v>5</v>
      </c>
      <c r="K4" s="48">
        <f ca="1">IFERROR(__xludf.DUMMYFUNCTION("""COMPUTED_VALUE"""),3)</f>
        <v>3</v>
      </c>
      <c r="L4" s="48">
        <f ca="1">IFERROR(__xludf.DUMMYFUNCTION("""COMPUTED_VALUE"""),0)</f>
        <v>0</v>
      </c>
      <c r="M4" s="48">
        <f ca="1">IFERROR(__xludf.DUMMYFUNCTION("""COMPUTED_VALUE"""),1)</f>
        <v>1</v>
      </c>
      <c r="N4" s="48">
        <f ca="1">IFERROR(__xludf.DUMMYFUNCTION("""COMPUTED_VALUE"""),4)</f>
        <v>4</v>
      </c>
      <c r="O4" s="48">
        <f ca="1">IFERROR(__xludf.DUMMYFUNCTION("""COMPUTED_VALUE"""),6)</f>
        <v>6</v>
      </c>
      <c r="P4" s="48">
        <f ca="1">IFERROR(__xludf.DUMMYFUNCTION("""COMPUTED_VALUE"""),3)</f>
        <v>3</v>
      </c>
      <c r="Q4" s="48">
        <f ca="1">IFERROR(__xludf.DUMMYFUNCTION("""COMPUTED_VALUE"""),1)</f>
        <v>1</v>
      </c>
      <c r="R4" s="48">
        <f ca="1">IFERROR(__xludf.DUMMYFUNCTION("""COMPUTED_VALUE"""),3)</f>
        <v>3</v>
      </c>
      <c r="S4" s="48">
        <f ca="1">IFERROR(__xludf.DUMMYFUNCTION("""COMPUTED_VALUE"""),76)</f>
        <v>76</v>
      </c>
    </row>
    <row r="5" spans="1:19">
      <c r="A5" s="46" t="str">
        <f ca="1">IFERROR(__xludf.DUMMYFUNCTION("""COMPUTED_VALUE"""),"SOPLETEAR TOMAS")</f>
        <v>SOPLETEAR TOMAS</v>
      </c>
      <c r="B5" s="46">
        <f ca="1">IFERROR(__xludf.DUMMYFUNCTION("""COMPUTED_VALUE"""),120)</f>
        <v>120</v>
      </c>
      <c r="C5" s="46" t="str">
        <f ca="1">IFERROR(__xludf.DUMMYFUNCTION("""COMPUTED_VALUE"""),"TOMAS SOPLETEADAS")</f>
        <v>TOMAS SOPLETEADAS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IFERROR(__xludf.DUMMYFUNCTION("""COMPUTED_VALUE"""),107.5)</f>
        <v>107.5</v>
      </c>
      <c r="G5" s="48">
        <f ca="1">IFERROR(__xludf.DUMMYFUNCTION("""COMPUTED_VALUE"""),9)</f>
        <v>9</v>
      </c>
      <c r="H5" s="48">
        <f ca="1">IFERROR(__xludf.DUMMYFUNCTION("""COMPUTED_VALUE"""),13)</f>
        <v>13</v>
      </c>
      <c r="I5" s="48">
        <f ca="1">IFERROR(__xludf.DUMMYFUNCTION("""COMPUTED_VALUE"""),3)</f>
        <v>3</v>
      </c>
      <c r="J5" s="48">
        <f ca="1">IFERROR(__xludf.DUMMYFUNCTION("""COMPUTED_VALUE"""),11)</f>
        <v>11</v>
      </c>
      <c r="K5" s="48">
        <f ca="1">IFERROR(__xludf.DUMMYFUNCTION("""COMPUTED_VALUE"""),13)</f>
        <v>13</v>
      </c>
      <c r="L5" s="48">
        <f ca="1">IFERROR(__xludf.DUMMYFUNCTION("""COMPUTED_VALUE"""),8)</f>
        <v>8</v>
      </c>
      <c r="M5" s="48">
        <f ca="1">IFERROR(__xludf.DUMMYFUNCTION("""COMPUTED_VALUE"""),15)</f>
        <v>15</v>
      </c>
      <c r="N5" s="48">
        <f ca="1">IFERROR(__xludf.DUMMYFUNCTION("""COMPUTED_VALUE"""),22)</f>
        <v>22</v>
      </c>
      <c r="O5" s="48">
        <f ca="1">IFERROR(__xludf.DUMMYFUNCTION("""COMPUTED_VALUE"""),8)</f>
        <v>8</v>
      </c>
      <c r="P5" s="48">
        <f ca="1">IFERROR(__xludf.DUMMYFUNCTION("""COMPUTED_VALUE"""),7)</f>
        <v>7</v>
      </c>
      <c r="Q5" s="48">
        <f ca="1">IFERROR(__xludf.DUMMYFUNCTION("""COMPUTED_VALUE"""),4)</f>
        <v>4</v>
      </c>
      <c r="R5" s="48">
        <f ca="1">IFERROR(__xludf.DUMMYFUNCTION("""COMPUTED_VALUE"""),16)</f>
        <v>16</v>
      </c>
      <c r="S5" s="48">
        <f ca="1">IFERROR(__xludf.DUMMYFUNCTION("""COMPUTED_VALUE"""),129)</f>
        <v>129</v>
      </c>
    </row>
    <row r="6" spans="1:19">
      <c r="A6" s="46" t="str">
        <f ca="1">IFERROR(__xludf.DUMMYFUNCTION("""COMPUTED_VALUE"""),"SUSPENSIÓN DE TOMAS")</f>
        <v>SUSPENSIÓN DE TOMAS</v>
      </c>
      <c r="B6" s="46">
        <f ca="1">IFERROR(__xludf.DUMMYFUNCTION("""COMPUTED_VALUE"""),85)</f>
        <v>85</v>
      </c>
      <c r="C6" s="46" t="str">
        <f ca="1">IFERROR(__xludf.DUMMYFUNCTION("""COMPUTED_VALUE"""),"TOMAS SUSPENDIDAS")</f>
        <v>TOMAS SUSPENDIDAS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IFERROR(__xludf.DUMMYFUNCTION("""COMPUTED_VALUE"""),137.647058823529)</f>
        <v>137.64705882352899</v>
      </c>
      <c r="G6" s="48">
        <f ca="1">IFERROR(__xludf.DUMMYFUNCTION("""COMPUTED_VALUE"""),18)</f>
        <v>18</v>
      </c>
      <c r="H6" s="48">
        <f ca="1">IFERROR(__xludf.DUMMYFUNCTION("""COMPUTED_VALUE"""),10)</f>
        <v>10</v>
      </c>
      <c r="I6" s="48">
        <f ca="1">IFERROR(__xludf.DUMMYFUNCTION("""COMPUTED_VALUE"""),9)</f>
        <v>9</v>
      </c>
      <c r="J6" s="48">
        <f ca="1">IFERROR(__xludf.DUMMYFUNCTION("""COMPUTED_VALUE"""),15)</f>
        <v>15</v>
      </c>
      <c r="K6" s="48">
        <f ca="1">IFERROR(__xludf.DUMMYFUNCTION("""COMPUTED_VALUE"""),2)</f>
        <v>2</v>
      </c>
      <c r="L6" s="48">
        <f ca="1">IFERROR(__xludf.DUMMYFUNCTION("""COMPUTED_VALUE"""),8)</f>
        <v>8</v>
      </c>
      <c r="M6" s="48">
        <f ca="1">IFERROR(__xludf.DUMMYFUNCTION("""COMPUTED_VALUE"""),8)</f>
        <v>8</v>
      </c>
      <c r="N6" s="48">
        <f ca="1">IFERROR(__xludf.DUMMYFUNCTION("""COMPUTED_VALUE"""),7)</f>
        <v>7</v>
      </c>
      <c r="O6" s="48">
        <f ca="1">IFERROR(__xludf.DUMMYFUNCTION("""COMPUTED_VALUE"""),11)</f>
        <v>11</v>
      </c>
      <c r="P6" s="48">
        <f ca="1">IFERROR(__xludf.DUMMYFUNCTION("""COMPUTED_VALUE"""),11)</f>
        <v>11</v>
      </c>
      <c r="Q6" s="48">
        <f ca="1">IFERROR(__xludf.DUMMYFUNCTION("""COMPUTED_VALUE"""),12)</f>
        <v>12</v>
      </c>
      <c r="R6" s="48">
        <f ca="1">IFERROR(__xludf.DUMMYFUNCTION("""COMPUTED_VALUE"""),6)</f>
        <v>6</v>
      </c>
      <c r="S6" s="48">
        <f ca="1">IFERROR(__xludf.DUMMYFUNCTION("""COMPUTED_VALUE"""),117)</f>
        <v>117</v>
      </c>
    </row>
    <row r="7" spans="1:19">
      <c r="A7" s="46" t="str">
        <f ca="1">IFERROR(__xludf.DUMMYFUNCTION("""COMPUTED_VALUE"""),"REPARACIÓN O DESASOLVE")</f>
        <v>REPARACIÓN O DESASOLVE</v>
      </c>
      <c r="B7" s="46">
        <f ca="1">IFERROR(__xludf.DUMMYFUNCTION("""COMPUTED_VALUE"""),180)</f>
        <v>180</v>
      </c>
      <c r="C7" s="46" t="str">
        <f ca="1">IFERROR(__xludf.DUMMYFUNCTION("""COMPUTED_VALUE"""),"REPARACIONES")</f>
        <v>REPARACIONES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IFERROR(__xludf.DUMMYFUNCTION("""COMPUTED_VALUE"""),113.888888888888)</f>
        <v>113.888888888888</v>
      </c>
      <c r="G7" s="48">
        <f ca="1">IFERROR(__xludf.DUMMYFUNCTION("""COMPUTED_VALUE"""),25)</f>
        <v>25</v>
      </c>
      <c r="H7" s="48">
        <f ca="1">IFERROR(__xludf.DUMMYFUNCTION("""COMPUTED_VALUE"""),15)</f>
        <v>15</v>
      </c>
      <c r="I7" s="48">
        <f ca="1">IFERROR(__xludf.DUMMYFUNCTION("""COMPUTED_VALUE"""),8)</f>
        <v>8</v>
      </c>
      <c r="J7" s="48">
        <f ca="1">IFERROR(__xludf.DUMMYFUNCTION("""COMPUTED_VALUE"""),16)</f>
        <v>16</v>
      </c>
      <c r="K7" s="48">
        <f ca="1">IFERROR(__xludf.DUMMYFUNCTION("""COMPUTED_VALUE"""),10)</f>
        <v>10</v>
      </c>
      <c r="L7" s="48">
        <f ca="1">IFERROR(__xludf.DUMMYFUNCTION("""COMPUTED_VALUE"""),14)</f>
        <v>14</v>
      </c>
      <c r="M7" s="48">
        <f ca="1">IFERROR(__xludf.DUMMYFUNCTION("""COMPUTED_VALUE"""),7)</f>
        <v>7</v>
      </c>
      <c r="N7" s="48">
        <f ca="1">IFERROR(__xludf.DUMMYFUNCTION("""COMPUTED_VALUE"""),28)</f>
        <v>28</v>
      </c>
      <c r="O7" s="48">
        <f ca="1">IFERROR(__xludf.DUMMYFUNCTION("""COMPUTED_VALUE"""),35)</f>
        <v>35</v>
      </c>
      <c r="P7" s="48">
        <f ca="1">IFERROR(__xludf.DUMMYFUNCTION("""COMPUTED_VALUE"""),29)</f>
        <v>29</v>
      </c>
      <c r="Q7" s="48">
        <f ca="1">IFERROR(__xludf.DUMMYFUNCTION("""COMPUTED_VALUE"""),12)</f>
        <v>12</v>
      </c>
      <c r="R7" s="48">
        <f ca="1">IFERROR(__xludf.DUMMYFUNCTION("""COMPUTED_VALUE"""),6)</f>
        <v>6</v>
      </c>
      <c r="S7" s="48">
        <f ca="1">IFERROR(__xludf.DUMMYFUNCTION("""COMPUTED_VALUE"""),205)</f>
        <v>205</v>
      </c>
    </row>
    <row r="8" spans="1:19">
      <c r="A8" s="46" t="str">
        <f ca="1">IFERROR(__xludf.DUMMYFUNCTION("""COMPUTED_VALUE"""),"CAMBIOS DE NOMBRE DE TOMAS DE AGUA POTABLE")</f>
        <v>CAMBIOS DE NOMBRE DE TOMAS DE AGUA POTABLE</v>
      </c>
      <c r="B8" s="46">
        <f ca="1">IFERROR(__xludf.DUMMYFUNCTION("""COMPUTED_VALUE"""),72)</f>
        <v>72</v>
      </c>
      <c r="C8" s="46" t="str">
        <f ca="1">IFERROR(__xludf.DUMMYFUNCTION("""COMPUTED_VALUE"""),"CAMBIOS DE NOMBRES")</f>
        <v>CAMBIOS DE NOMBRES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IFERROR(__xludf.DUMMYFUNCTION("""COMPUTED_VALUE"""),241.666666666666)</f>
        <v>241.666666666666</v>
      </c>
      <c r="G8" s="48">
        <f ca="1">IFERROR(__xludf.DUMMYFUNCTION("""COMPUTED_VALUE"""),35)</f>
        <v>35</v>
      </c>
      <c r="H8" s="48">
        <f ca="1">IFERROR(__xludf.DUMMYFUNCTION("""COMPUTED_VALUE"""),45)</f>
        <v>45</v>
      </c>
      <c r="I8" s="48">
        <f ca="1">IFERROR(__xludf.DUMMYFUNCTION("""COMPUTED_VALUE"""),25)</f>
        <v>25</v>
      </c>
      <c r="J8" s="48">
        <f ca="1">IFERROR(__xludf.DUMMYFUNCTION("""COMPUTED_VALUE"""),14)</f>
        <v>14</v>
      </c>
      <c r="K8" s="48">
        <f ca="1">IFERROR(__xludf.DUMMYFUNCTION("""COMPUTED_VALUE"""),15)</f>
        <v>15</v>
      </c>
      <c r="L8" s="48">
        <f ca="1">IFERROR(__xludf.DUMMYFUNCTION("""COMPUTED_VALUE"""),4)</f>
        <v>4</v>
      </c>
      <c r="M8" s="48">
        <f ca="1">IFERROR(__xludf.DUMMYFUNCTION("""COMPUTED_VALUE"""),10)</f>
        <v>10</v>
      </c>
      <c r="N8" s="48">
        <f ca="1">IFERROR(__xludf.DUMMYFUNCTION("""COMPUTED_VALUE"""),4)</f>
        <v>4</v>
      </c>
      <c r="O8" s="48">
        <f ca="1">IFERROR(__xludf.DUMMYFUNCTION("""COMPUTED_VALUE"""),6)</f>
        <v>6</v>
      </c>
      <c r="P8" s="48">
        <f ca="1">IFERROR(__xludf.DUMMYFUNCTION("""COMPUTED_VALUE"""),6)</f>
        <v>6</v>
      </c>
      <c r="Q8" s="48">
        <f ca="1">IFERROR(__xludf.DUMMYFUNCTION("""COMPUTED_VALUE"""),7)</f>
        <v>7</v>
      </c>
      <c r="R8" s="48">
        <f ca="1">IFERROR(__xludf.DUMMYFUNCTION("""COMPUTED_VALUE"""),3)</f>
        <v>3</v>
      </c>
      <c r="S8" s="48">
        <f ca="1">IFERROR(__xludf.DUMMYFUNCTION("""COMPUTED_VALUE"""),174)</f>
        <v>174</v>
      </c>
    </row>
    <row r="9" spans="1:19">
      <c r="A9" s="46" t="str">
        <f ca="1">IFERROR(__xludf.DUMMYFUNCTION("""COMPUTED_VALUE"""),"NUEVAS TOMAS DE AGUA POTABLE(ZONA URBANA)")</f>
        <v>NUEVAS TOMAS DE AGUA POTABLE(ZONA URBANA)</v>
      </c>
      <c r="B9" s="46">
        <f ca="1">IFERROR(__xludf.DUMMYFUNCTION("""COMPUTED_VALUE"""),240)</f>
        <v>240</v>
      </c>
      <c r="C9" s="46" t="str">
        <f ca="1">IFERROR(__xludf.DUMMYFUNCTION("""COMPUTED_VALUE"""),"NUEVAS TOMAS")</f>
        <v>NUEVAS TOMAS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IFERROR(__xludf.DUMMYFUNCTION("""COMPUTED_VALUE"""),109.583333333333)</f>
        <v>109.583333333333</v>
      </c>
      <c r="G9" s="48">
        <f ca="1">IFERROR(__xludf.DUMMYFUNCTION("""COMPUTED_VALUE"""),20)</f>
        <v>20</v>
      </c>
      <c r="H9" s="48">
        <f ca="1">IFERROR(__xludf.DUMMYFUNCTION("""COMPUTED_VALUE"""),25)</f>
        <v>25</v>
      </c>
      <c r="I9" s="48">
        <f ca="1">IFERROR(__xludf.DUMMYFUNCTION("""COMPUTED_VALUE"""),15)</f>
        <v>15</v>
      </c>
      <c r="J9" s="48">
        <f ca="1">IFERROR(__xludf.DUMMYFUNCTION("""COMPUTED_VALUE"""),23)</f>
        <v>23</v>
      </c>
      <c r="K9" s="48">
        <f ca="1">IFERROR(__xludf.DUMMYFUNCTION("""COMPUTED_VALUE"""),34)</f>
        <v>34</v>
      </c>
      <c r="L9" s="48">
        <f ca="1">IFERROR(__xludf.DUMMYFUNCTION("""COMPUTED_VALUE"""),30)</f>
        <v>30</v>
      </c>
      <c r="M9" s="48">
        <f ca="1">IFERROR(__xludf.DUMMYFUNCTION("""COMPUTED_VALUE"""),18)</f>
        <v>18</v>
      </c>
      <c r="N9" s="48">
        <f ca="1">IFERROR(__xludf.DUMMYFUNCTION("""COMPUTED_VALUE"""),21)</f>
        <v>21</v>
      </c>
      <c r="O9" s="48">
        <f ca="1">IFERROR(__xludf.DUMMYFUNCTION("""COMPUTED_VALUE"""),15)</f>
        <v>15</v>
      </c>
      <c r="P9" s="48">
        <f ca="1">IFERROR(__xludf.DUMMYFUNCTION("""COMPUTED_VALUE"""),18)</f>
        <v>18</v>
      </c>
      <c r="Q9" s="48">
        <f ca="1">IFERROR(__xludf.DUMMYFUNCTION("""COMPUTED_VALUE"""),25)</f>
        <v>25</v>
      </c>
      <c r="R9" s="48">
        <f ca="1">IFERROR(__xludf.DUMMYFUNCTION("""COMPUTED_VALUE"""),19)</f>
        <v>19</v>
      </c>
      <c r="S9" s="48">
        <f ca="1">IFERROR(__xludf.DUMMYFUNCTION("""COMPUTED_VALUE"""),263)</f>
        <v>263</v>
      </c>
    </row>
    <row r="10" spans="1:19">
      <c r="A10" s="46" t="str">
        <f ca="1">IFERROR(__xludf.DUMMYFUNCTION("""COMPUTED_VALUE"""),"CAPTURA DE LECTURAS DE AGUA POTABLE")</f>
        <v>CAPTURA DE LECTURAS DE AGUA POTABLE</v>
      </c>
      <c r="B10" s="46">
        <f ca="1">IFERROR(__xludf.DUMMYFUNCTION("""COMPUTED_VALUE"""),168000)</f>
        <v>168000</v>
      </c>
      <c r="C10" s="46" t="str">
        <f ca="1">IFERROR(__xludf.DUMMYFUNCTION("""COMPUTED_VALUE"""),"LECTURAS")</f>
        <v>LECTURAS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IFERROR(__xludf.DUMMYFUNCTION("""COMPUTED_VALUE"""),103.456547619047)</f>
        <v>103.456547619047</v>
      </c>
      <c r="G10" s="48">
        <f ca="1">IFERROR(__xludf.DUMMYFUNCTION("""COMPUTED_VALUE"""),19301)</f>
        <v>19301</v>
      </c>
      <c r="H10" s="48">
        <f ca="1">IFERROR(__xludf.DUMMYFUNCTION("""COMPUTED_VALUE"""),19321)</f>
        <v>19321</v>
      </c>
      <c r="I10" s="48">
        <f ca="1">IFERROR(__xludf.DUMMYFUNCTION("""COMPUTED_VALUE"""),19346)</f>
        <v>19346</v>
      </c>
      <c r="J10" s="48">
        <f ca="1">IFERROR(__xludf.DUMMYFUNCTION("""COMPUTED_VALUE"""),16390)</f>
        <v>16390</v>
      </c>
      <c r="K10" s="48">
        <f ca="1">IFERROR(__xludf.DUMMYFUNCTION("""COMPUTED_VALUE"""),16390)</f>
        <v>16390</v>
      </c>
      <c r="L10" s="48">
        <f ca="1">IFERROR(__xludf.DUMMYFUNCTION("""COMPUTED_VALUE"""),16390)</f>
        <v>16390</v>
      </c>
      <c r="M10" s="48">
        <f ca="1">IFERROR(__xludf.DUMMYFUNCTION("""COMPUTED_VALUE"""),0)</f>
        <v>0</v>
      </c>
      <c r="N10" s="48">
        <f ca="1">IFERROR(__xludf.DUMMYFUNCTION("""COMPUTED_VALUE"""),15800)</f>
        <v>15800</v>
      </c>
      <c r="O10" s="48">
        <f ca="1">IFERROR(__xludf.DUMMYFUNCTION("""COMPUTED_VALUE"""),5400)</f>
        <v>5400</v>
      </c>
      <c r="P10" s="48">
        <f ca="1">IFERROR(__xludf.DUMMYFUNCTION("""COMPUTED_VALUE"""),15145)</f>
        <v>15145</v>
      </c>
      <c r="Q10" s="48">
        <f ca="1">IFERROR(__xludf.DUMMYFUNCTION("""COMPUTED_VALUE"""),15168)</f>
        <v>15168</v>
      </c>
      <c r="R10" s="48">
        <f ca="1">IFERROR(__xludf.DUMMYFUNCTION("""COMPUTED_VALUE"""),15156)</f>
        <v>15156</v>
      </c>
      <c r="S10" s="48">
        <f ca="1">IFERROR(__xludf.DUMMYFUNCTION("""COMPUTED_VALUE"""),173807)</f>
        <v>173807</v>
      </c>
    </row>
    <row r="11" spans="1:19">
      <c r="A11" s="46" t="str">
        <f ca="1">IFERROR(__xludf.DUMMYFUNCTION("""COMPUTED_VALUE"""),"SOLICITUDES DE PIPAS")</f>
        <v>SOLICITUDES DE PIPAS</v>
      </c>
      <c r="B11" s="46">
        <f ca="1">IFERROR(__xludf.DUMMYFUNCTION("""COMPUTED_VALUE"""),480)</f>
        <v>480</v>
      </c>
      <c r="C11" s="46" t="str">
        <f ca="1">IFERROR(__xludf.DUMMYFUNCTION("""COMPUTED_VALUE"""),"SOLICITUDES DE PITAS")</f>
        <v>SOLICITUDES DE PITAS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IFERROR(__xludf.DUMMYFUNCTION("""COMPUTED_VALUE"""),216.458333333333)</f>
        <v>216.458333333333</v>
      </c>
      <c r="G11" s="48">
        <f ca="1">IFERROR(__xludf.DUMMYFUNCTION("""COMPUTED_VALUE"""),372)</f>
        <v>372</v>
      </c>
      <c r="H11" s="48">
        <f ca="1">IFERROR(__xludf.DUMMYFUNCTION("""COMPUTED_VALUE"""),333)</f>
        <v>333</v>
      </c>
      <c r="I11" s="48">
        <f ca="1">IFERROR(__xludf.DUMMYFUNCTION("""COMPUTED_VALUE"""),0)</f>
        <v>0</v>
      </c>
      <c r="J11" s="48">
        <f ca="1">IFERROR(__xludf.DUMMYFUNCTION("""COMPUTED_VALUE"""),62)</f>
        <v>62</v>
      </c>
      <c r="K11" s="48">
        <f ca="1">IFERROR(__xludf.DUMMYFUNCTION("""COMPUTED_VALUE"""),43)</f>
        <v>43</v>
      </c>
      <c r="L11" s="48">
        <f ca="1">IFERROR(__xludf.DUMMYFUNCTION("""COMPUTED_VALUE"""),67)</f>
        <v>67</v>
      </c>
      <c r="M11" s="48">
        <f ca="1">IFERROR(__xludf.DUMMYFUNCTION("""COMPUTED_VALUE"""),42)</f>
        <v>42</v>
      </c>
      <c r="N11" s="48">
        <f ca="1">IFERROR(__xludf.DUMMYFUNCTION("""COMPUTED_VALUE"""),46)</f>
        <v>46</v>
      </c>
      <c r="O11" s="48">
        <f ca="1">IFERROR(__xludf.DUMMYFUNCTION("""COMPUTED_VALUE"""),21)</f>
        <v>21</v>
      </c>
      <c r="P11" s="48">
        <f ca="1">IFERROR(__xludf.DUMMYFUNCTION("""COMPUTED_VALUE"""),22)</f>
        <v>22</v>
      </c>
      <c r="Q11" s="48">
        <f ca="1">IFERROR(__xludf.DUMMYFUNCTION("""COMPUTED_VALUE"""),14)</f>
        <v>14</v>
      </c>
      <c r="R11" s="48">
        <f ca="1">IFERROR(__xludf.DUMMYFUNCTION("""COMPUTED_VALUE"""),17)</f>
        <v>17</v>
      </c>
      <c r="S11" s="48">
        <f ca="1">IFERROR(__xludf.DUMMYFUNCTION("""COMPUTED_VALUE"""),1039)</f>
        <v>1039</v>
      </c>
    </row>
    <row r="12" spans="1:19">
      <c r="A12" s="46" t="str">
        <f ca="1">IFERROR(__xludf.DUMMYFUNCTION("""COMPUTED_VALUE"""),"PIPAS ENTREGADAS")</f>
        <v>PIPAS ENTREGADAS</v>
      </c>
      <c r="B12" s="46">
        <f ca="1">IFERROR(__xludf.DUMMYFUNCTION("""COMPUTED_VALUE"""),480)</f>
        <v>480</v>
      </c>
      <c r="C12" s="46" t="str">
        <f ca="1">IFERROR(__xludf.DUMMYFUNCTION("""COMPUTED_VALUE"""),"PIPAS ENTREGADAS")</f>
        <v>PIPAS ENTREGADAS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IFERROR(__xludf.DUMMYFUNCTION("""COMPUTED_VALUE"""),228.541666666666)</f>
        <v>228.541666666666</v>
      </c>
      <c r="G12" s="48">
        <f ca="1">IFERROR(__xludf.DUMMYFUNCTION("""COMPUTED_VALUE"""),372)</f>
        <v>372</v>
      </c>
      <c r="H12" s="48">
        <f ca="1">IFERROR(__xludf.DUMMYFUNCTION("""COMPUTED_VALUE"""),333)</f>
        <v>333</v>
      </c>
      <c r="I12" s="48">
        <f ca="1">IFERROR(__xludf.DUMMYFUNCTION("""COMPUTED_VALUE"""),230)</f>
        <v>230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IFERROR(__xludf.DUMMYFUNCTION("""COMPUTED_VALUE"""),42)</f>
        <v>42</v>
      </c>
      <c r="N12" s="48">
        <f ca="1">IFERROR(__xludf.DUMMYFUNCTION("""COMPUTED_VALUE"""),46)</f>
        <v>46</v>
      </c>
      <c r="O12" s="48">
        <f ca="1">IFERROR(__xludf.DUMMYFUNCTION("""COMPUTED_VALUE"""),21)</f>
        <v>21</v>
      </c>
      <c r="P12" s="48">
        <f ca="1">IFERROR(__xludf.DUMMYFUNCTION("""COMPUTED_VALUE"""),22)</f>
        <v>22</v>
      </c>
      <c r="Q12" s="48">
        <f ca="1">IFERROR(__xludf.DUMMYFUNCTION("""COMPUTED_VALUE"""),14)</f>
        <v>14</v>
      </c>
      <c r="R12" s="48">
        <f ca="1">IFERROR(__xludf.DUMMYFUNCTION("""COMPUTED_VALUE"""),17)</f>
        <v>17</v>
      </c>
      <c r="S12" s="48">
        <f ca="1">IFERROR(__xludf.DUMMYFUNCTION("""COMPUTED_VALUE"""),1097)</f>
        <v>1097</v>
      </c>
    </row>
    <row r="13" spans="1:19">
      <c r="A13" s="46" t="str">
        <f ca="1">IFERROR(__xludf.DUMMYFUNCTION("""COMPUTED_VALUE"""),"CERTIFICADOS DE NO ADEUDO")</f>
        <v>CERTIFICADOS DE NO ADEUDO</v>
      </c>
      <c r="B13" s="46">
        <f ca="1">IFERROR(__xludf.DUMMYFUNCTION("""COMPUTED_VALUE"""),48)</f>
        <v>48</v>
      </c>
      <c r="C13" s="46" t="str">
        <f ca="1">IFERROR(__xludf.DUMMYFUNCTION("""COMPUTED_VALUE"""),"CERTIFICADOS DE NO ADEUDOS")</f>
        <v>CERTIFICADOS DE NO ADEUDOS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IFERROR(__xludf.DUMMYFUNCTION("""COMPUTED_VALUE"""),156.25)</f>
        <v>156.25</v>
      </c>
      <c r="G13" s="48">
        <f ca="1">IFERROR(__xludf.DUMMYFUNCTION("""COMPUTED_VALUE"""),20)</f>
        <v>20</v>
      </c>
      <c r="H13" s="48">
        <f ca="1">IFERROR(__xludf.DUMMYFUNCTION("""COMPUTED_VALUE"""),0)</f>
        <v>0</v>
      </c>
      <c r="I13" s="48">
        <f ca="1">IFERROR(__xludf.DUMMYFUNCTION("""COMPUTED_VALUE"""),18)</f>
        <v>18</v>
      </c>
      <c r="J13" s="48">
        <f ca="1">IFERROR(__xludf.DUMMYFUNCTION("""COMPUTED_VALUE"""),3)</f>
        <v>3</v>
      </c>
      <c r="K13" s="48">
        <f ca="1">IFERROR(__xludf.DUMMYFUNCTION("""COMPUTED_VALUE"""),2)</f>
        <v>2</v>
      </c>
      <c r="L13" s="48">
        <f ca="1">IFERROR(__xludf.DUMMYFUNCTION("""COMPUTED_VALUE"""),4)</f>
        <v>4</v>
      </c>
      <c r="M13" s="48">
        <f ca="1">IFERROR(__xludf.DUMMYFUNCTION("""COMPUTED_VALUE"""),3)</f>
        <v>3</v>
      </c>
      <c r="N13" s="48">
        <f ca="1">IFERROR(__xludf.DUMMYFUNCTION("""COMPUTED_VALUE"""),4)</f>
        <v>4</v>
      </c>
      <c r="O13" s="48">
        <f ca="1">IFERROR(__xludf.DUMMYFUNCTION("""COMPUTED_VALUE"""),5)</f>
        <v>5</v>
      </c>
      <c r="P13" s="48">
        <f ca="1">IFERROR(__xludf.DUMMYFUNCTION("""COMPUTED_VALUE"""),5)</f>
        <v>5</v>
      </c>
      <c r="Q13" s="48">
        <f ca="1">IFERROR(__xludf.DUMMYFUNCTION("""COMPUTED_VALUE"""),11)</f>
        <v>11</v>
      </c>
      <c r="R13" s="48">
        <f ca="1">IFERROR(__xludf.DUMMYFUNCTION("""COMPUTED_VALUE"""),0)</f>
        <v>0</v>
      </c>
      <c r="S13" s="48">
        <f ca="1">IFERROR(__xludf.DUMMYFUNCTION("""COMPUTED_VALUE"""),75)</f>
        <v>75</v>
      </c>
    </row>
    <row r="14" spans="1:19">
      <c r="A14" s="46" t="str">
        <f ca="1">IFERROR(__xludf.DUMMYFUNCTION("""COMPUTED_VALUE"""),"SOLICITUDES DE VERIFICACIÓN DOMICILIARIA (EFICIENCIA DEL SERVICIO)")</f>
        <v>SOLICITUDES DE VERIFICACIÓN DOMICILIARIA (EFICIENCIA DEL SERVICIO)</v>
      </c>
      <c r="B14" s="46">
        <f ca="1">IFERROR(__xludf.DUMMYFUNCTION("""COMPUTED_VALUE"""),144)</f>
        <v>144</v>
      </c>
      <c r="C14" s="46" t="str">
        <f ca="1">IFERROR(__xludf.DUMMYFUNCTION("""COMPUTED_VALUE"""),"SOLICITUDES DE VERIFICACION")</f>
        <v>SOLICITUDES DE VERIFICACION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IFERROR(__xludf.DUMMYFUNCTION("""COMPUTED_VALUE"""),144.444444444444)</f>
        <v>144.444444444444</v>
      </c>
      <c r="G14" s="48">
        <f ca="1">IFERROR(__xludf.DUMMYFUNCTION("""COMPUTED_VALUE"""),10)</f>
        <v>10</v>
      </c>
      <c r="H14" s="48">
        <f ca="1">IFERROR(__xludf.DUMMYFUNCTION("""COMPUTED_VALUE"""),8)</f>
        <v>8</v>
      </c>
      <c r="I14" s="48">
        <f ca="1">IFERROR(__xludf.DUMMYFUNCTION("""COMPUTED_VALUE"""),5)</f>
        <v>5</v>
      </c>
      <c r="J14" s="48">
        <f ca="1">IFERROR(__xludf.DUMMYFUNCTION("""COMPUTED_VALUE"""),31)</f>
        <v>31</v>
      </c>
      <c r="K14" s="48">
        <f ca="1">IFERROR(__xludf.DUMMYFUNCTION("""COMPUTED_VALUE"""),13)</f>
        <v>13</v>
      </c>
      <c r="L14" s="48">
        <f ca="1">IFERROR(__xludf.DUMMYFUNCTION("""COMPUTED_VALUE"""),19)</f>
        <v>19</v>
      </c>
      <c r="M14" s="48">
        <f ca="1">IFERROR(__xludf.DUMMYFUNCTION("""COMPUTED_VALUE"""),13)</f>
        <v>13</v>
      </c>
      <c r="N14" s="48">
        <f ca="1">IFERROR(__xludf.DUMMYFUNCTION("""COMPUTED_VALUE"""),18)</f>
        <v>18</v>
      </c>
      <c r="O14" s="48">
        <f ca="1">IFERROR(__xludf.DUMMYFUNCTION("""COMPUTED_VALUE"""),23)</f>
        <v>23</v>
      </c>
      <c r="P14" s="48">
        <f ca="1">IFERROR(__xludf.DUMMYFUNCTION("""COMPUTED_VALUE"""),37)</f>
        <v>37</v>
      </c>
      <c r="Q14" s="48">
        <f ca="1">IFERROR(__xludf.DUMMYFUNCTION("""COMPUTED_VALUE"""),18)</f>
        <v>18</v>
      </c>
      <c r="R14" s="48">
        <f ca="1">IFERROR(__xludf.DUMMYFUNCTION("""COMPUTED_VALUE"""),13)</f>
        <v>13</v>
      </c>
      <c r="S14" s="48">
        <f ca="1">IFERROR(__xludf.DUMMYFUNCTION("""COMPUTED_VALUE"""),208)</f>
        <v>208</v>
      </c>
    </row>
    <row r="15" spans="1:19">
      <c r="A15" s="46" t="str">
        <f ca="1">IFERROR(__xludf.DUMMYFUNCTION("""COMPUTED_VALUE"""),"INEXISTENCIAS DE TOMAS")</f>
        <v>INEXISTENCIAS DE TOMAS</v>
      </c>
      <c r="B15" s="46">
        <f ca="1">IFERROR(__xludf.DUMMYFUNCTION("""COMPUTED_VALUE"""),1080)</f>
        <v>1080</v>
      </c>
      <c r="C15" s="46" t="str">
        <f ca="1">IFERROR(__xludf.DUMMYFUNCTION("""COMPUTED_VALUE"""),"INEXISTENCIA DE TOMAS")</f>
        <v>INEXISTENCIA DE TOMAS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IFERROR(__xludf.DUMMYFUNCTION("""COMPUTED_VALUE"""),87.037037037037)</f>
        <v>87.037037037036995</v>
      </c>
      <c r="G15" s="48">
        <f ca="1">IFERROR(__xludf.DUMMYFUNCTION("""COMPUTED_VALUE"""),35)</f>
        <v>35</v>
      </c>
      <c r="H15" s="48">
        <f ca="1">IFERROR(__xludf.DUMMYFUNCTION("""COMPUTED_VALUE"""),40)</f>
        <v>40</v>
      </c>
      <c r="I15" s="48">
        <f ca="1">IFERROR(__xludf.DUMMYFUNCTION("""COMPUTED_VALUE"""),29)</f>
        <v>29</v>
      </c>
      <c r="J15" s="48">
        <f ca="1">IFERROR(__xludf.DUMMYFUNCTION("""COMPUTED_VALUE"""),107)</f>
        <v>107</v>
      </c>
      <c r="K15" s="48">
        <f ca="1">IFERROR(__xludf.DUMMYFUNCTION("""COMPUTED_VALUE"""),133)</f>
        <v>133</v>
      </c>
      <c r="L15" s="48">
        <f ca="1">IFERROR(__xludf.DUMMYFUNCTION("""COMPUTED_VALUE"""),94)</f>
        <v>94</v>
      </c>
      <c r="M15" s="48">
        <f ca="1">IFERROR(__xludf.DUMMYFUNCTION("""COMPUTED_VALUE"""),61)</f>
        <v>61</v>
      </c>
      <c r="N15" s="48">
        <f ca="1">IFERROR(__xludf.DUMMYFUNCTION("""COMPUTED_VALUE"""),59)</f>
        <v>59</v>
      </c>
      <c r="O15" s="48">
        <f ca="1">IFERROR(__xludf.DUMMYFUNCTION("""COMPUTED_VALUE"""),85)</f>
        <v>85</v>
      </c>
      <c r="P15" s="48">
        <f ca="1">IFERROR(__xludf.DUMMYFUNCTION("""COMPUTED_VALUE"""),139)</f>
        <v>139</v>
      </c>
      <c r="Q15" s="48">
        <f ca="1">IFERROR(__xludf.DUMMYFUNCTION("""COMPUTED_VALUE"""),69)</f>
        <v>69</v>
      </c>
      <c r="R15" s="48">
        <f ca="1">IFERROR(__xludf.DUMMYFUNCTION("""COMPUTED_VALUE"""),89)</f>
        <v>89</v>
      </c>
      <c r="S15" s="48">
        <f ca="1">IFERROR(__xludf.DUMMYFUNCTION("""COMPUTED_VALUE"""),940)</f>
        <v>940</v>
      </c>
    </row>
    <row r="16" spans="1:19">
      <c r="A16" s="46" t="str">
        <f ca="1">IFERROR(__xludf.DUMMYFUNCTION("""COMPUTED_VALUE"""),"VERIFICACIÓN DE DRENAJE EN FRACCIONAMIENTOS NUEVOS")</f>
        <v>VERIFICACIÓN DE DRENAJE EN FRACCIONAMIENTOS NUEVOS</v>
      </c>
      <c r="B16" s="46">
        <f ca="1">IFERROR(__xludf.DUMMYFUNCTION("""COMPUTED_VALUE"""),12)</f>
        <v>12</v>
      </c>
      <c r="C16" s="46" t="str">
        <f ca="1">IFERROR(__xludf.DUMMYFUNCTION("""COMPUTED_VALUE"""),"VERIFICACION DE DRENAJE ")</f>
        <v xml:space="preserve">VERIFICACION DE DRENAJE 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IFERROR(__xludf.DUMMYFUNCTION("""COMPUTED_VALUE"""),108.333333333333)</f>
        <v>108.333333333333</v>
      </c>
      <c r="G16" s="48">
        <f ca="1">IFERROR(__xludf.DUMMYFUNCTION("""COMPUTED_VALUE"""),2)</f>
        <v>2</v>
      </c>
      <c r="H16" s="48">
        <f ca="1">IFERROR(__xludf.DUMMYFUNCTION("""COMPUTED_VALUE"""),3)</f>
        <v>3</v>
      </c>
      <c r="I16" s="48">
        <f ca="1">IFERROR(__xludf.DUMMYFUNCTION("""COMPUTED_VALUE"""),1)</f>
        <v>1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IFERROR(__xludf.DUMMYFUNCTION("""COMPUTED_VALUE"""),3)</f>
        <v>3</v>
      </c>
      <c r="M16" s="48">
        <f ca="1">IFERROR(__xludf.DUMMYFUNCTION("""COMPUTED_VALUE"""),1)</f>
        <v>1</v>
      </c>
      <c r="N16" s="48">
        <f ca="1">IFERROR(__xludf.DUMMYFUNCTION("""COMPUTED_VALUE"""),0)</f>
        <v>0</v>
      </c>
      <c r="O16" s="48">
        <f ca="1">IFERROR(__xludf.DUMMYFUNCTION("""COMPUTED_VALUE"""),3)</f>
        <v>3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IFERROR(__xludf.DUMMYFUNCTION("""COMPUTED_VALUE"""),13)</f>
        <v>13</v>
      </c>
    </row>
    <row r="17" spans="1:19">
      <c r="A17" s="46" t="str">
        <f ca="1">IFERROR(__xludf.DUMMYFUNCTION("""COMPUTED_VALUE"""),"HABILITACIÓN DE REDES NUEVAS DE AGUA POTABLE")</f>
        <v>HABILITACIÓN DE REDES NUEVAS DE AGUA POTABLE</v>
      </c>
      <c r="B17" s="46">
        <f ca="1">IFERROR(__xludf.DUMMYFUNCTION("""COMPUTED_VALUE"""),96)</f>
        <v>96</v>
      </c>
      <c r="C17" s="46" t="str">
        <f ca="1">IFERROR(__xludf.DUMMYFUNCTION("""COMPUTED_VALUE"""),"NUEVAS REDES DE AGUA POTABLE")</f>
        <v>NUEVAS REDES DE AGUA POTABLE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IFERROR(__xludf.DUMMYFUNCTION("""COMPUTED_VALUE"""),55.2083333333333)</f>
        <v>55.2083333333333</v>
      </c>
      <c r="G17" s="48">
        <f ca="1">IFERROR(__xludf.DUMMYFUNCTION("""COMPUTED_VALUE"""),7)</f>
        <v>7</v>
      </c>
      <c r="H17" s="48">
        <f ca="1">IFERROR(__xludf.DUMMYFUNCTION("""COMPUTED_VALUE"""),9)</f>
        <v>9</v>
      </c>
      <c r="I17" s="48">
        <f ca="1">IFERROR(__xludf.DUMMYFUNCTION("""COMPUTED_VALUE"""),7)</f>
        <v>7</v>
      </c>
      <c r="J17" s="48">
        <f ca="1">IFERROR(__xludf.DUMMYFUNCTION("""COMPUTED_VALUE"""),7)</f>
        <v>7</v>
      </c>
      <c r="K17" s="48">
        <f ca="1">IFERROR(__xludf.DUMMYFUNCTION("""COMPUTED_VALUE"""),6)</f>
        <v>6</v>
      </c>
      <c r="L17" s="48">
        <f ca="1">IFERROR(__xludf.DUMMYFUNCTION("""COMPUTED_VALUE"""),10)</f>
        <v>10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IFERROR(__xludf.DUMMYFUNCTION("""COMPUTED_VALUE"""),2)</f>
        <v>2</v>
      </c>
      <c r="Q17" s="48">
        <f ca="1">IFERROR(__xludf.DUMMYFUNCTION("""COMPUTED_VALUE"""),3)</f>
        <v>3</v>
      </c>
      <c r="R17" s="48">
        <f ca="1">IFERROR(__xludf.DUMMYFUNCTION("""COMPUTED_VALUE"""),2)</f>
        <v>2</v>
      </c>
      <c r="S17" s="48">
        <f ca="1">IFERROR(__xludf.DUMMYFUNCTION("""COMPUTED_VALUE"""),53)</f>
        <v>53</v>
      </c>
    </row>
    <row r="18" spans="1:19">
      <c r="A18" s="46" t="str">
        <f ca="1">IFERROR(__xludf.DUMMYFUNCTION("""COMPUTED_VALUE"""),"INSTALACIÓN Y REHABILITACIÓN DE SANITARIOS")</f>
        <v>INSTALACIÓN Y REHABILITACIÓN DE SANITARIOS</v>
      </c>
      <c r="B18" s="46">
        <f ca="1">IFERROR(__xludf.DUMMYFUNCTION("""COMPUTED_VALUE"""),8)</f>
        <v>8</v>
      </c>
      <c r="C18" s="46" t="str">
        <f ca="1">IFERROR(__xludf.DUMMYFUNCTION("""COMPUTED_VALUE"""),"MANTENIMEINTO A SANITARIOS DE BAÑOS PUBLICOS")</f>
        <v>MANTENIMEINTO A SANITARIOS DE BAÑOS PUBLICOS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IFERROR(__xludf.DUMMYFUNCTION("""COMPUTED_VALUE"""),187.5)</f>
        <v>187.5</v>
      </c>
      <c r="G18" s="48">
        <f ca="1">IFERROR(__xludf.DUMMYFUNCTION("""COMPUTED_VALUE"""),3)</f>
        <v>3</v>
      </c>
      <c r="H18" s="48">
        <f ca="1">IFERROR(__xludf.DUMMYFUNCTION("""COMPUTED_VALUE"""),2)</f>
        <v>2</v>
      </c>
      <c r="I18" s="48">
        <f ca="1">IFERROR(__xludf.DUMMYFUNCTION("""COMPUTED_VALUE"""),2)</f>
        <v>2</v>
      </c>
      <c r="J18" s="48">
        <f ca="1">IFERROR(__xludf.DUMMYFUNCTION("""COMPUTED_VALUE"""),1)</f>
        <v>1</v>
      </c>
      <c r="K18" s="48">
        <f ca="1">IFERROR(__xludf.DUMMYFUNCTION("""COMPUTED_VALUE"""),1)</f>
        <v>1</v>
      </c>
      <c r="L18" s="48">
        <f ca="1">IFERROR(__xludf.DUMMYFUNCTION("""COMPUTED_VALUE"""),2)</f>
        <v>2</v>
      </c>
      <c r="M18" s="48">
        <f ca="1">IFERROR(__xludf.DUMMYFUNCTION("""COMPUTED_VALUE"""),0)</f>
        <v>0</v>
      </c>
      <c r="N18" s="48">
        <f ca="1">IFERROR(__xludf.DUMMYFUNCTION("""COMPUTED_VALUE"""),1)</f>
        <v>1</v>
      </c>
      <c r="O18" s="48">
        <f ca="1">IFERROR(__xludf.DUMMYFUNCTION("""COMPUTED_VALUE"""),0)</f>
        <v>0</v>
      </c>
      <c r="P18" s="48">
        <f ca="1">IFERROR(__xludf.DUMMYFUNCTION("""COMPUTED_VALUE"""),2)</f>
        <v>2</v>
      </c>
      <c r="Q18" s="48">
        <f ca="1">IFERROR(__xludf.DUMMYFUNCTION("""COMPUTED_VALUE"""),1)</f>
        <v>1</v>
      </c>
      <c r="R18" s="48">
        <f ca="1">IFERROR(__xludf.DUMMYFUNCTION("""COMPUTED_VALUE"""),0)</f>
        <v>0</v>
      </c>
      <c r="S18" s="48">
        <f ca="1">IFERROR(__xludf.DUMMYFUNCTION("""COMPUTED_VALUE"""),15)</f>
        <v>15</v>
      </c>
    </row>
    <row r="19" spans="1:19">
      <c r="A19" s="46" t="str">
        <f ca="1">IFERROR(__xludf.DUMMYFUNCTION("""COMPUTED_VALUE"""),"MANTENIMIENTO A BOMBAS DE AGUA")</f>
        <v>MANTENIMIENTO A BOMBAS DE AGUA</v>
      </c>
      <c r="B19" s="46">
        <f ca="1">IFERROR(__xludf.DUMMYFUNCTION("""COMPUTED_VALUE"""),24)</f>
        <v>24</v>
      </c>
      <c r="C19" s="46" t="str">
        <f ca="1">IFERROR(__xludf.DUMMYFUNCTION("""COMPUTED_VALUE"""),"MANTENIMIENTOS A BOMBAS DE AGUA ")</f>
        <v xml:space="preserve">MANTENIMIENTOS A BOMBAS DE AGUA 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IFERROR(__xludf.DUMMYFUNCTION("""COMPUTED_VALUE"""),208.333333333333)</f>
        <v>208.333333333333</v>
      </c>
      <c r="G19" s="48">
        <f ca="1">IFERROR(__xludf.DUMMYFUNCTION("""COMPUTED_VALUE"""),10)</f>
        <v>10</v>
      </c>
      <c r="H19" s="48">
        <f ca="1">IFERROR(__xludf.DUMMYFUNCTION("""COMPUTED_VALUE"""),15)</f>
        <v>15</v>
      </c>
      <c r="I19" s="48">
        <f ca="1">IFERROR(__xludf.DUMMYFUNCTION("""COMPUTED_VALUE"""),5)</f>
        <v>5</v>
      </c>
      <c r="J19" s="48">
        <f ca="1">IFERROR(__xludf.DUMMYFUNCTION("""COMPUTED_VALUE"""),3)</f>
        <v>3</v>
      </c>
      <c r="K19" s="48">
        <f ca="1">IFERROR(__xludf.DUMMYFUNCTION("""COMPUTED_VALUE"""),4)</f>
        <v>4</v>
      </c>
      <c r="L19" s="48">
        <f ca="1">IFERROR(__xludf.DUMMYFUNCTION("""COMPUTED_VALUE"""),2)</f>
        <v>2</v>
      </c>
      <c r="M19" s="48">
        <f ca="1">IFERROR(__xludf.DUMMYFUNCTION("""COMPUTED_VALUE"""),0)</f>
        <v>0</v>
      </c>
      <c r="N19" s="48">
        <f ca="1">IFERROR(__xludf.DUMMYFUNCTION("""COMPUTED_VALUE"""),1)</f>
        <v>1</v>
      </c>
      <c r="O19" s="48">
        <f ca="1">IFERROR(__xludf.DUMMYFUNCTION("""COMPUTED_VALUE"""),2)</f>
        <v>2</v>
      </c>
      <c r="P19" s="48">
        <f ca="1">IFERROR(__xludf.DUMMYFUNCTION("""COMPUTED_VALUE"""),3)</f>
        <v>3</v>
      </c>
      <c r="Q19" s="48">
        <f ca="1">IFERROR(__xludf.DUMMYFUNCTION("""COMPUTED_VALUE"""),0)</f>
        <v>0</v>
      </c>
      <c r="R19" s="48">
        <f ca="1">IFERROR(__xludf.DUMMYFUNCTION("""COMPUTED_VALUE"""),5)</f>
        <v>5</v>
      </c>
      <c r="S19" s="48">
        <f ca="1">IFERROR(__xludf.DUMMYFUNCTION("""COMPUTED_VALUE"""),50)</f>
        <v>50</v>
      </c>
    </row>
    <row r="20" spans="1:19">
      <c r="A20" s="46" t="str">
        <f ca="1">IFERROR(__xludf.DUMMYFUNCTION("""COMPUTED_VALUE"""),"REPARACION DE FUGAS DE DRENAJE")</f>
        <v>REPARACION DE FUGAS DE DRENAJE</v>
      </c>
      <c r="B20" s="46">
        <f ca="1">IFERROR(__xludf.DUMMYFUNCTION("""COMPUTED_VALUE"""),14)</f>
        <v>14</v>
      </c>
      <c r="C20" s="46" t="str">
        <f ca="1">IFERROR(__xludf.DUMMYFUNCTION("""COMPUTED_VALUE"""),"REPARACION FUGAS DE DRENAJE")</f>
        <v>REPARACION FUGAS DE DRENAJE</v>
      </c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IFERROR(__xludf.DUMMYFUNCTION("""COMPUTED_VALUE"""),92.8571428571428)</f>
        <v>92.857142857142804</v>
      </c>
      <c r="G20" s="48">
        <f ca="1">IFERROR(__xludf.DUMMYFUNCTION("""COMPUTED_VALUE"""),3)</f>
        <v>3</v>
      </c>
      <c r="H20" s="48">
        <f ca="1">IFERROR(__xludf.DUMMYFUNCTION("""COMPUTED_VALUE"""),2)</f>
        <v>2</v>
      </c>
      <c r="I20" s="48">
        <f ca="1">IFERROR(__xludf.DUMMYFUNCTION("""COMPUTED_VALUE"""),0)</f>
        <v>0</v>
      </c>
      <c r="J20" s="48">
        <f ca="1">IFERROR(__xludf.DUMMYFUNCTION("""COMPUTED_VALUE"""),1)</f>
        <v>1</v>
      </c>
      <c r="K20" s="48">
        <f ca="1">IFERROR(__xludf.DUMMYFUNCTION("""COMPUTED_VALUE"""),1)</f>
        <v>1</v>
      </c>
      <c r="L20" s="48">
        <f ca="1">IFERROR(__xludf.DUMMYFUNCTION("""COMPUTED_VALUE"""),2)</f>
        <v>2</v>
      </c>
      <c r="M20" s="48">
        <f ca="1">IFERROR(__xludf.DUMMYFUNCTION("""COMPUTED_VALUE"""),0)</f>
        <v>0</v>
      </c>
      <c r="N20" s="48">
        <f ca="1">IFERROR(__xludf.DUMMYFUNCTION("""COMPUTED_VALUE"""),1)</f>
        <v>1</v>
      </c>
      <c r="O20" s="48">
        <f ca="1">IFERROR(__xludf.DUMMYFUNCTION("""COMPUTED_VALUE"""),0)</f>
        <v>0</v>
      </c>
      <c r="P20" s="48">
        <f ca="1">IFERROR(__xludf.DUMMYFUNCTION("""COMPUTED_VALUE"""),2)</f>
        <v>2</v>
      </c>
      <c r="Q20" s="48">
        <f ca="1">IFERROR(__xludf.DUMMYFUNCTION("""COMPUTED_VALUE"""),1)</f>
        <v>1</v>
      </c>
      <c r="R20" s="48">
        <f ca="1">IFERROR(__xludf.DUMMYFUNCTION("""COMPUTED_VALUE"""),0)</f>
        <v>0</v>
      </c>
      <c r="S20" s="48">
        <f ca="1">IFERROR(__xludf.DUMMYFUNCTION("""COMPUTED_VALUE"""),13)</f>
        <v>13</v>
      </c>
    </row>
    <row r="21" spans="1:19">
      <c r="A21" s="46" t="str">
        <f ca="1">IFERROR(__xludf.DUMMYFUNCTION("""COMPUTED_VALUE"""),"LITROS EXTRAIDOS")</f>
        <v>LITROS EXTRAIDOS</v>
      </c>
      <c r="B21" s="46">
        <f ca="1">IFERROR(__xludf.DUMMYFUNCTION("""COMPUTED_VALUE"""),60)</f>
        <v>60</v>
      </c>
      <c r="C21" s="46" t="str">
        <f ca="1">IFERROR(__xludf.DUMMYFUNCTION("""COMPUTED_VALUE"""),"LITROS EXTRAIDOS")</f>
        <v>LITROS EXTRAIDOS</v>
      </c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IFERROR(__xludf.DUMMYFUNCTION("""COMPUTED_VALUE"""),83.3333333333333)</f>
        <v>83.3333333333333</v>
      </c>
      <c r="G21" s="48">
        <f ca="1">IFERROR(__xludf.DUMMYFUNCTION("""COMPUTED_VALUE"""),10)</f>
        <v>10</v>
      </c>
      <c r="H21" s="48">
        <f ca="1">IFERROR(__xludf.DUMMYFUNCTION("""COMPUTED_VALUE"""),15)</f>
        <v>15</v>
      </c>
      <c r="I21" s="48">
        <f ca="1">IFERROR(__xludf.DUMMYFUNCTION("""COMPUTED_VALUE"""),5)</f>
        <v>5</v>
      </c>
      <c r="J21" s="48">
        <f ca="1">IFERROR(__xludf.DUMMYFUNCTION("""COMPUTED_VALUE"""),3)</f>
        <v>3</v>
      </c>
      <c r="K21" s="48">
        <f ca="1">IFERROR(__xludf.DUMMYFUNCTION("""COMPUTED_VALUE"""),4)</f>
        <v>4</v>
      </c>
      <c r="L21" s="48">
        <f ca="1">IFERROR(__xludf.DUMMYFUNCTION("""COMPUTED_VALUE"""),2)</f>
        <v>2</v>
      </c>
      <c r="M21" s="48">
        <f ca="1">IFERROR(__xludf.DUMMYFUNCTION("""COMPUTED_VALUE"""),0)</f>
        <v>0</v>
      </c>
      <c r="N21" s="48">
        <f ca="1">IFERROR(__xludf.DUMMYFUNCTION("""COMPUTED_VALUE"""),1)</f>
        <v>1</v>
      </c>
      <c r="O21" s="48">
        <f ca="1">IFERROR(__xludf.DUMMYFUNCTION("""COMPUTED_VALUE"""),2)</f>
        <v>2</v>
      </c>
      <c r="P21" s="48">
        <f ca="1">IFERROR(__xludf.DUMMYFUNCTION("""COMPUTED_VALUE"""),3)</f>
        <v>3</v>
      </c>
      <c r="Q21" s="48">
        <f ca="1">IFERROR(__xludf.DUMMYFUNCTION("""COMPUTED_VALUE"""),0)</f>
        <v>0</v>
      </c>
      <c r="R21" s="48">
        <f ca="1">IFERROR(__xludf.DUMMYFUNCTION("""COMPUTED_VALUE"""),5)</f>
        <v>5</v>
      </c>
      <c r="S21" s="48">
        <f ca="1">IFERROR(__xludf.DUMMYFUNCTION("""COMPUTED_VALUE"""),50)</f>
        <v>50</v>
      </c>
    </row>
    <row r="22" spans="1:19">
      <c r="A22" s="46" t="str">
        <f ca="1">IFERROR(__xludf.DUMMYFUNCTION("""COMPUTED_VALUE"""),"LITROS DE HIPOCLORITO DE SODIO EN POZOS")</f>
        <v>LITROS DE HIPOCLORITO DE SODIO EN POZOS</v>
      </c>
      <c r="B22" s="46">
        <f ca="1">IFERROR(__xludf.DUMMYFUNCTION("""COMPUTED_VALUE"""),1200000)</f>
        <v>1200000</v>
      </c>
      <c r="C22" s="46" t="str">
        <f ca="1">IFERROR(__xludf.DUMMYFUNCTION("""COMPUTED_VALUE"""),"LITROS DE HIPOCLORITO DE SODIO AGREGADOS A LOS POZOS")</f>
        <v>LITROS DE HIPOCLORITO DE SODIO AGREGADOS A LOS POZOS</v>
      </c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IFERROR(__xludf.DUMMYFUNCTION("""COMPUTED_VALUE"""),107.182916666666)</f>
        <v>107.182916666666</v>
      </c>
      <c r="G22" s="48">
        <f ca="1">IFERROR(__xludf.DUMMYFUNCTION("""COMPUTED_VALUE"""),117750)</f>
        <v>117750</v>
      </c>
      <c r="H22" s="48">
        <f ca="1">IFERROR(__xludf.DUMMYFUNCTION("""COMPUTED_VALUE"""),117750)</f>
        <v>117750</v>
      </c>
      <c r="I22" s="48">
        <f ca="1">IFERROR(__xludf.DUMMYFUNCTION("""COMPUTED_VALUE"""),117750)</f>
        <v>117750</v>
      </c>
      <c r="J22" s="48">
        <f ca="1">IFERROR(__xludf.DUMMYFUNCTION("""COMPUTED_VALUE"""),117144)</f>
        <v>117144</v>
      </c>
      <c r="K22" s="48">
        <f ca="1">IFERROR(__xludf.DUMMYFUNCTION("""COMPUTED_VALUE"""),114769)</f>
        <v>114769</v>
      </c>
      <c r="L22" s="48">
        <f ca="1">IFERROR(__xludf.DUMMYFUNCTION("""COMPUTED_VALUE"""),126388)</f>
        <v>126388</v>
      </c>
      <c r="M22" s="48">
        <f ca="1">IFERROR(__xludf.DUMMYFUNCTION("""COMPUTED_VALUE"""),100142)</f>
        <v>100142</v>
      </c>
      <c r="N22" s="48">
        <f ca="1">IFERROR(__xludf.DUMMYFUNCTION("""COMPUTED_VALUE"""),112707)</f>
        <v>112707</v>
      </c>
      <c r="O22" s="48">
        <f ca="1">IFERROR(__xludf.DUMMYFUNCTION("""COMPUTED_VALUE"""),92949)</f>
        <v>92949</v>
      </c>
      <c r="P22" s="48">
        <f ca="1">IFERROR(__xludf.DUMMYFUNCTION("""COMPUTED_VALUE"""),86678)</f>
        <v>86678</v>
      </c>
      <c r="Q22" s="48">
        <f ca="1">IFERROR(__xludf.DUMMYFUNCTION("""COMPUTED_VALUE"""),92060)</f>
        <v>92060</v>
      </c>
      <c r="R22" s="48">
        <f ca="1">IFERROR(__xludf.DUMMYFUNCTION("""COMPUTED_VALUE"""),90108)</f>
        <v>90108</v>
      </c>
      <c r="S22" s="48">
        <f ca="1">IFERROR(__xludf.DUMMYFUNCTION("""COMPUTED_VALUE"""),1286195)</f>
        <v>1286195</v>
      </c>
    </row>
    <row r="23" spans="1:19">
      <c r="A23" s="46" t="str">
        <f ca="1">IFERROR(__xludf.DUMMYFUNCTION("""COMPUTED_VALUE"""),"MANTENIMIENTO A PLANTAS TRATADORAS")</f>
        <v>MANTENIMIENTO A PLANTAS TRATADORAS</v>
      </c>
      <c r="B23" s="46">
        <f ca="1">IFERROR(__xludf.DUMMYFUNCTION("""COMPUTED_VALUE"""),114000)</f>
        <v>114000</v>
      </c>
      <c r="C23" s="46" t="str">
        <f ca="1">IFERROR(__xludf.DUMMYFUNCTION("""COMPUTED_VALUE"""),"MANTENIMIENTOS REALIZADOS")</f>
        <v>MANTENIMIENTOS REALIZADOS</v>
      </c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IFERROR(__xludf.DUMMYFUNCTION("""COMPUTED_VALUE"""),99.8245614035087)</f>
        <v>99.824561403508696</v>
      </c>
      <c r="G23" s="48">
        <f ca="1">IFERROR(__xludf.DUMMYFUNCTION("""COMPUTED_VALUE"""),650)</f>
        <v>650</v>
      </c>
      <c r="H23" s="48">
        <f ca="1">IFERROR(__xludf.DUMMYFUNCTION("""COMPUTED_VALUE"""),650)</f>
        <v>650</v>
      </c>
      <c r="I23" s="48">
        <f ca="1">IFERROR(__xludf.DUMMYFUNCTION("""COMPUTED_VALUE"""),0)</f>
        <v>0</v>
      </c>
      <c r="J23" s="48">
        <f ca="1">IFERROR(__xludf.DUMMYFUNCTION("""COMPUTED_VALUE"""),9500)</f>
        <v>9500</v>
      </c>
      <c r="K23" s="48">
        <f ca="1">IFERROR(__xludf.DUMMYFUNCTION("""COMPUTED_VALUE"""),12500)</f>
        <v>12500</v>
      </c>
      <c r="L23" s="48">
        <f ca="1">IFERROR(__xludf.DUMMYFUNCTION("""COMPUTED_VALUE"""),12500)</f>
        <v>12500</v>
      </c>
      <c r="M23" s="48">
        <f ca="1">IFERROR(__xludf.DUMMYFUNCTION("""COMPUTED_VALUE"""),14000)</f>
        <v>14000</v>
      </c>
      <c r="N23" s="48">
        <f ca="1">IFERROR(__xludf.DUMMYFUNCTION("""COMPUTED_VALUE"""),14000)</f>
        <v>14000</v>
      </c>
      <c r="O23" s="48">
        <f ca="1">IFERROR(__xludf.DUMMYFUNCTION("""COMPUTED_VALUE"""),13250)</f>
        <v>13250</v>
      </c>
      <c r="P23" s="48">
        <f ca="1">IFERROR(__xludf.DUMMYFUNCTION("""COMPUTED_VALUE"""),13250)</f>
        <v>13250</v>
      </c>
      <c r="Q23" s="48">
        <f ca="1">IFERROR(__xludf.DUMMYFUNCTION("""COMPUTED_VALUE"""),10750)</f>
        <v>10750</v>
      </c>
      <c r="R23" s="48">
        <f ca="1">IFERROR(__xludf.DUMMYFUNCTION("""COMPUTED_VALUE"""),12750)</f>
        <v>12750</v>
      </c>
      <c r="S23" s="48">
        <f ca="1">IFERROR(__xludf.DUMMYFUNCTION("""COMPUTED_VALUE"""),113800)</f>
        <v>113800</v>
      </c>
    </row>
    <row r="24" spans="1:19">
      <c r="A24" s="46" t="str">
        <f ca="1">IFERROR(__xludf.DUMMYFUNCTION("""COMPUTED_VALUE"""),"ACTIVIDADES EXTRAS (APOYO A EVENTOS, MANTENIMIENTO HÍDRICO DE EDIFICIOS PÚBLICOS)")</f>
        <v>ACTIVIDADES EXTRAS (APOYO A EVENTOS, MANTENIMIENTO HÍDRICO DE EDIFICIOS PÚBLICOS)</v>
      </c>
      <c r="B24" s="46">
        <f ca="1">IFERROR(__xludf.DUMMYFUNCTION("""COMPUTED_VALUE"""),2880)</f>
        <v>2880</v>
      </c>
      <c r="C24" s="46" t="str">
        <f ca="1">IFERROR(__xludf.DUMMYFUNCTION("""COMPUTED_VALUE"""),"ACTIVIDADES EXTRAS")</f>
        <v>ACTIVIDADES EXTRAS</v>
      </c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IFERROR(__xludf.DUMMYFUNCTION("""COMPUTED_VALUE"""),94.7569444444444)</f>
        <v>94.7569444444444</v>
      </c>
      <c r="G24" s="48">
        <f ca="1">IFERROR(__xludf.DUMMYFUNCTION("""COMPUTED_VALUE"""),2)</f>
        <v>2</v>
      </c>
      <c r="H24" s="48">
        <f ca="1">IFERROR(__xludf.DUMMYFUNCTION("""COMPUTED_VALUE"""),3)</f>
        <v>3</v>
      </c>
      <c r="I24" s="48">
        <f ca="1">IFERROR(__xludf.DUMMYFUNCTION("""COMPUTED_VALUE"""),1)</f>
        <v>1</v>
      </c>
      <c r="J24" s="48">
        <f ca="1">IFERROR(__xludf.DUMMYFUNCTION("""COMPUTED_VALUE"""),246)</f>
        <v>246</v>
      </c>
      <c r="K24" s="48">
        <f ca="1">IFERROR(__xludf.DUMMYFUNCTION("""COMPUTED_VALUE"""),241)</f>
        <v>241</v>
      </c>
      <c r="L24" s="48">
        <f ca="1">IFERROR(__xludf.DUMMYFUNCTION("""COMPUTED_VALUE"""),235)</f>
        <v>235</v>
      </c>
      <c r="M24" s="48">
        <f ca="1">IFERROR(__xludf.DUMMYFUNCTION("""COMPUTED_VALUE"""),298)</f>
        <v>298</v>
      </c>
      <c r="N24" s="48">
        <f ca="1">IFERROR(__xludf.DUMMYFUNCTION("""COMPUTED_VALUE"""),297)</f>
        <v>297</v>
      </c>
      <c r="O24" s="48">
        <f ca="1">IFERROR(__xludf.DUMMYFUNCTION("""COMPUTED_VALUE"""),232)</f>
        <v>232</v>
      </c>
      <c r="P24" s="48">
        <f ca="1">IFERROR(__xludf.DUMMYFUNCTION("""COMPUTED_VALUE"""),379)</f>
        <v>379</v>
      </c>
      <c r="Q24" s="48">
        <f ca="1">IFERROR(__xludf.DUMMYFUNCTION("""COMPUTED_VALUE"""),398)</f>
        <v>398</v>
      </c>
      <c r="R24" s="48">
        <f ca="1">IFERROR(__xludf.DUMMYFUNCTION("""COMPUTED_VALUE"""),397)</f>
        <v>397</v>
      </c>
      <c r="S24" s="48">
        <f ca="1">IFERROR(__xludf.DUMMYFUNCTION("""COMPUTED_VALUE"""),2729)</f>
        <v>2729</v>
      </c>
    </row>
    <row r="25" spans="1:19">
      <c r="A25" s="46" t="str">
        <f ca="1">IFERROR(__xludf.DUMMYFUNCTION("""COMPUTED_VALUE"""),"ANALISIS FISICOQUÍMICOS")</f>
        <v>ANALISIS FISICOQUÍMICOS</v>
      </c>
      <c r="B25" s="46">
        <f ca="1">IFERROR(__xludf.DUMMYFUNCTION("""COMPUTED_VALUE"""),12)</f>
        <v>12</v>
      </c>
      <c r="C25" s="46" t="str">
        <f ca="1">IFERROR(__xludf.DUMMYFUNCTION("""COMPUTED_VALUE"""),"ANALISIS FISICO")</f>
        <v>ANALISIS FISICO</v>
      </c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IFERROR(__xludf.DUMMYFUNCTION("""COMPUTED_VALUE"""),116.666666666666)</f>
        <v>116.666666666666</v>
      </c>
      <c r="G25" s="48">
        <f ca="1">IFERROR(__xludf.DUMMYFUNCTION("""COMPUTED_VALUE"""),0)</f>
        <v>0</v>
      </c>
      <c r="H25" s="48">
        <f ca="1">IFERROR(__xludf.DUMMYFUNCTION("""COMPUTED_VALUE"""),0)</f>
        <v>0</v>
      </c>
      <c r="I25" s="48">
        <f ca="1">IFERROR(__xludf.DUMMYFUNCTION("""COMPUTED_VALUE"""),0)</f>
        <v>0</v>
      </c>
      <c r="J25" s="48">
        <f ca="1">IFERROR(__xludf.DUMMYFUNCTION("""COMPUTED_VALUE"""),1)</f>
        <v>1</v>
      </c>
      <c r="K25" s="48">
        <f ca="1">IFERROR(__xludf.DUMMYFUNCTION("""COMPUTED_VALUE"""),3)</f>
        <v>3</v>
      </c>
      <c r="L25" s="48">
        <f ca="1">IFERROR(__xludf.DUMMYFUNCTION("""COMPUTED_VALUE"""),1)</f>
        <v>1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IFERROR(__xludf.DUMMYFUNCTION("""COMPUTED_VALUE"""),3)</f>
        <v>3</v>
      </c>
      <c r="Q25" s="48">
        <f ca="1">IFERROR(__xludf.DUMMYFUNCTION("""COMPUTED_VALUE"""),4)</f>
        <v>4</v>
      </c>
      <c r="R25" s="48">
        <f ca="1">IFERROR(__xludf.DUMMYFUNCTION("""COMPUTED_VALUE"""),2)</f>
        <v>2</v>
      </c>
      <c r="S25" s="48">
        <f ca="1">IFERROR(__xludf.DUMMYFUNCTION("""COMPUTED_VALUE"""),14)</f>
        <v>14</v>
      </c>
    </row>
    <row r="26" spans="1:19">
      <c r="A26" s="46" t="str">
        <f ca="1">IFERROR(__xludf.DUMMYFUNCTION("""COMPUTED_VALUE"""),"PODAS EN ESPACIOS PUBLICOS MUNICIPALES")</f>
        <v>PODAS EN ESPACIOS PUBLICOS MUNICIPALES</v>
      </c>
      <c r="B26" s="46">
        <f ca="1">IFERROR(__xludf.DUMMYFUNCTION("""COMPUTED_VALUE"""),480)</f>
        <v>480</v>
      </c>
      <c r="C26" s="46" t="str">
        <f ca="1">IFERROR(__xludf.DUMMYFUNCTION("""COMPUTED_VALUE"""),"PODAS")</f>
        <v>PODAS</v>
      </c>
      <c r="D26" s="46" t="str">
        <f ca="1">IFERROR(__xludf.DUMMYFUNCTION("""COMPUTED_VALUE"""),"ASCENDENTE")</f>
        <v>ASCENDENTE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IFERROR(__xludf.DUMMYFUNCTION("""COMPUTED_VALUE"""),0)</f>
        <v>0</v>
      </c>
      <c r="G26" s="48">
        <f ca="1">IFERROR(__xludf.DUMMYFUNCTION("""COMPUTED_VALUE"""),0)</f>
        <v>0</v>
      </c>
      <c r="H26" s="48">
        <f ca="1">IFERROR(__xludf.DUMMYFUNCTION("""COMPUTED_VALUE"""),0)</f>
        <v>0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IFERROR(__xludf.DUMMYFUNCTION("""COMPUTED_VALUE"""),0)</f>
        <v>0</v>
      </c>
      <c r="L26" s="48">
        <f ca="1">IFERROR(__xludf.DUMMYFUNCTION("""COMPUTED_VALUE"""),0)</f>
        <v>0</v>
      </c>
      <c r="M26" s="48">
        <f ca="1">IFERROR(__xludf.DUMMYFUNCTION("""COMPUTED_VALUE"""),0)</f>
        <v>0</v>
      </c>
      <c r="N26" s="48">
        <f ca="1">IFERROR(__xludf.DUMMYFUNCTION("""COMPUTED_VALUE"""),0)</f>
        <v>0</v>
      </c>
      <c r="O26" s="48">
        <f ca="1">IFERROR(__xludf.DUMMYFUNCTION("""COMPUTED_VALUE"""),0)</f>
        <v>0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IFERROR(__xludf.DUMMYFUNCTION("""COMPUTED_VALUE"""),0)</f>
        <v>0</v>
      </c>
    </row>
    <row r="27" spans="1:19">
      <c r="A27" s="46" t="str">
        <f ca="1">IFERROR(__xludf.DUMMYFUNCTION("""COMPUTED_VALUE"""),"PODAS EN CARRETERAS Y CAMINOS")</f>
        <v>PODAS EN CARRETERAS Y CAMINOS</v>
      </c>
      <c r="B27" s="46">
        <f ca="1">IFERROR(__xludf.DUMMYFUNCTION("""COMPUTED_VALUE"""),480)</f>
        <v>480</v>
      </c>
      <c r="C27" s="46" t="str">
        <f ca="1">IFERROR(__xludf.DUMMYFUNCTION("""COMPUTED_VALUE"""),"PODAS EN CARRETERAS")</f>
        <v>PODAS EN CARRETERAS</v>
      </c>
      <c r="D27" s="46" t="str">
        <f ca="1">IFERROR(__xludf.DUMMYFUNCTION("""COMPUTED_VALUE"""),"ASCENDENTE")</f>
        <v>ASCENDENTE</v>
      </c>
      <c r="E27" s="46" t="str">
        <f ca="1">IFERROR(__xludf.DUMMYFUNCTION("""COMPUTED_VALUE"""),"BITACORA OPERATIVA")</f>
        <v>BITACORA OPERATIVA</v>
      </c>
      <c r="F27" s="47">
        <f ca="1">IFERROR(__xludf.DUMMYFUNCTION("""COMPUTED_VALUE"""),87.0833333333333)</f>
        <v>87.0833333333333</v>
      </c>
      <c r="G27" s="48">
        <f ca="1">IFERROR(__xludf.DUMMYFUNCTION("""COMPUTED_VALUE"""),80)</f>
        <v>80</v>
      </c>
      <c r="H27" s="48">
        <f ca="1">IFERROR(__xludf.DUMMYFUNCTION("""COMPUTED_VALUE"""),50)</f>
        <v>50</v>
      </c>
      <c r="I27" s="48">
        <f ca="1">IFERROR(__xludf.DUMMYFUNCTION("""COMPUTED_VALUE"""),20)</f>
        <v>20</v>
      </c>
      <c r="J27" s="48">
        <f ca="1">IFERROR(__xludf.DUMMYFUNCTION("""COMPUTED_VALUE"""),42)</f>
        <v>42</v>
      </c>
      <c r="K27" s="48">
        <f ca="1">IFERROR(__xludf.DUMMYFUNCTION("""COMPUTED_VALUE"""),18)</f>
        <v>18</v>
      </c>
      <c r="L27" s="48">
        <f ca="1">IFERROR(__xludf.DUMMYFUNCTION("""COMPUTED_VALUE"""),34)</f>
        <v>34</v>
      </c>
      <c r="M27" s="48">
        <f ca="1">IFERROR(__xludf.DUMMYFUNCTION("""COMPUTED_VALUE"""),40)</f>
        <v>40</v>
      </c>
      <c r="N27" s="48">
        <f ca="1">IFERROR(__xludf.DUMMYFUNCTION("""COMPUTED_VALUE"""),48)</f>
        <v>48</v>
      </c>
      <c r="O27" s="48">
        <f ca="1">IFERROR(__xludf.DUMMYFUNCTION("""COMPUTED_VALUE"""),53)</f>
        <v>53</v>
      </c>
      <c r="P27" s="48">
        <f ca="1">IFERROR(__xludf.DUMMYFUNCTION("""COMPUTED_VALUE"""),13)</f>
        <v>13</v>
      </c>
      <c r="Q27" s="48">
        <f ca="1">IFERROR(__xludf.DUMMYFUNCTION("""COMPUTED_VALUE"""),9)</f>
        <v>9</v>
      </c>
      <c r="R27" s="48">
        <f ca="1">IFERROR(__xludf.DUMMYFUNCTION("""COMPUTED_VALUE"""),11)</f>
        <v>11</v>
      </c>
      <c r="S27" s="48">
        <f ca="1">IFERROR(__xludf.DUMMYFUNCTION("""COMPUTED_VALUE"""),418)</f>
        <v>418</v>
      </c>
    </row>
    <row r="28" spans="1:19">
      <c r="A28" s="46" t="str">
        <f ca="1">IFERROR(__xludf.DUMMYFUNCTION("""COMPUTED_VALUE"""),"PODAS EN CAMELLONES Y BANQUETAS DE CALLES")</f>
        <v>PODAS EN CAMELLONES Y BANQUETAS DE CALLES</v>
      </c>
      <c r="B28" s="46">
        <f ca="1">IFERROR(__xludf.DUMMYFUNCTION("""COMPUTED_VALUE"""),180)</f>
        <v>180</v>
      </c>
      <c r="C28" s="46" t="str">
        <f ca="1">IFERROR(__xludf.DUMMYFUNCTION("""COMPUTED_VALUE"""),"PODAS EN CAMELLONES")</f>
        <v>PODAS EN CAMELLONES</v>
      </c>
      <c r="D28" s="46" t="str">
        <f ca="1">IFERROR(__xludf.DUMMYFUNCTION("""COMPUTED_VALUE"""),"ASCENDENTE")</f>
        <v>ASCENDENTE</v>
      </c>
      <c r="E28" s="46" t="str">
        <f ca="1">IFERROR(__xludf.DUMMYFUNCTION("""COMPUTED_VALUE"""),"BITACORA OPERATIVA")</f>
        <v>BITACORA OPERATIVA</v>
      </c>
      <c r="F28" s="47">
        <f ca="1">IFERROR(__xludf.DUMMYFUNCTION("""COMPUTED_VALUE"""),230.555555555555)</f>
        <v>230.555555555555</v>
      </c>
      <c r="G28" s="48">
        <f ca="1">IFERROR(__xludf.DUMMYFUNCTION("""COMPUTED_VALUE"""),90)</f>
        <v>90</v>
      </c>
      <c r="H28" s="48">
        <f ca="1">IFERROR(__xludf.DUMMYFUNCTION("""COMPUTED_VALUE"""),50)</f>
        <v>50</v>
      </c>
      <c r="I28" s="48">
        <f ca="1">IFERROR(__xludf.DUMMYFUNCTION("""COMPUTED_VALUE"""),20)</f>
        <v>20</v>
      </c>
      <c r="J28" s="48">
        <f ca="1">IFERROR(__xludf.DUMMYFUNCTION("""COMPUTED_VALUE"""),17)</f>
        <v>17</v>
      </c>
      <c r="K28" s="48">
        <f ca="1">IFERROR(__xludf.DUMMYFUNCTION("""COMPUTED_VALUE"""),13)</f>
        <v>13</v>
      </c>
      <c r="L28" s="48">
        <f ca="1">IFERROR(__xludf.DUMMYFUNCTION("""COMPUTED_VALUE"""),10)</f>
        <v>10</v>
      </c>
      <c r="M28" s="48">
        <f ca="1">IFERROR(__xludf.DUMMYFUNCTION("""COMPUTED_VALUE"""),35)</f>
        <v>35</v>
      </c>
      <c r="N28" s="48">
        <f ca="1">IFERROR(__xludf.DUMMYFUNCTION("""COMPUTED_VALUE"""),47)</f>
        <v>47</v>
      </c>
      <c r="O28" s="48">
        <f ca="1">IFERROR(__xludf.DUMMYFUNCTION("""COMPUTED_VALUE"""),68)</f>
        <v>68</v>
      </c>
      <c r="P28" s="48">
        <f ca="1">IFERROR(__xludf.DUMMYFUNCTION("""COMPUTED_VALUE"""),22)</f>
        <v>22</v>
      </c>
      <c r="Q28" s="48">
        <f ca="1">IFERROR(__xludf.DUMMYFUNCTION("""COMPUTED_VALUE"""),16)</f>
        <v>16</v>
      </c>
      <c r="R28" s="48">
        <f ca="1">IFERROR(__xludf.DUMMYFUNCTION("""COMPUTED_VALUE"""),27)</f>
        <v>27</v>
      </c>
      <c r="S28" s="48">
        <f ca="1">IFERROR(__xludf.DUMMYFUNCTION("""COMPUTED_VALUE"""),415)</f>
        <v>415</v>
      </c>
    </row>
    <row r="29" spans="1:19">
      <c r="A29" s="46" t="str">
        <f ca="1">IFERROR(__xludf.DUMMYFUNCTION("""COMPUTED_VALUE"""),"PODAS EN UNIDADES DEPORTIVAS Y CAMPOS DE FÚTBOL")</f>
        <v>PODAS EN UNIDADES DEPORTIVAS Y CAMPOS DE FÚTBOL</v>
      </c>
      <c r="B29" s="46">
        <f ca="1">IFERROR(__xludf.DUMMYFUNCTION("""COMPUTED_VALUE"""),240)</f>
        <v>240</v>
      </c>
      <c r="C29" s="46" t="str">
        <f ca="1">IFERROR(__xludf.DUMMYFUNCTION("""COMPUTED_VALUE"""),"PODAS EN UNIDADES DEPORTIVAS")</f>
        <v>PODAS EN UNIDADES DEPORTIVAS</v>
      </c>
      <c r="D29" s="46" t="str">
        <f ca="1">IFERROR(__xludf.DUMMYFUNCTION("""COMPUTED_VALUE"""),"ASCENDENTE")</f>
        <v>ASCENDENTE</v>
      </c>
      <c r="E29" s="46" t="str">
        <f ca="1">IFERROR(__xludf.DUMMYFUNCTION("""COMPUTED_VALUE"""),"BITACORA OPERATIVA")</f>
        <v>BITACORA OPERATIVA</v>
      </c>
      <c r="F29" s="47">
        <f ca="1">IFERROR(__xludf.DUMMYFUNCTION("""COMPUTED_VALUE"""),194.166666666666)</f>
        <v>194.166666666666</v>
      </c>
      <c r="G29" s="48">
        <f ca="1">IFERROR(__xludf.DUMMYFUNCTION("""COMPUTED_VALUE"""),100)</f>
        <v>100</v>
      </c>
      <c r="H29" s="48">
        <f ca="1">IFERROR(__xludf.DUMMYFUNCTION("""COMPUTED_VALUE"""),50)</f>
        <v>50</v>
      </c>
      <c r="I29" s="48">
        <f ca="1">IFERROR(__xludf.DUMMYFUNCTION("""COMPUTED_VALUE"""),0)</f>
        <v>0</v>
      </c>
      <c r="J29" s="48">
        <f ca="1">IFERROR(__xludf.DUMMYFUNCTION("""COMPUTED_VALUE"""),28)</f>
        <v>28</v>
      </c>
      <c r="K29" s="48">
        <f ca="1">IFERROR(__xludf.DUMMYFUNCTION("""COMPUTED_VALUE"""),32)</f>
        <v>32</v>
      </c>
      <c r="L29" s="48">
        <f ca="1">IFERROR(__xludf.DUMMYFUNCTION("""COMPUTED_VALUE"""),26)</f>
        <v>26</v>
      </c>
      <c r="M29" s="48">
        <f ca="1">IFERROR(__xludf.DUMMYFUNCTION("""COMPUTED_VALUE"""),24)</f>
        <v>24</v>
      </c>
      <c r="N29" s="48">
        <f ca="1">IFERROR(__xludf.DUMMYFUNCTION("""COMPUTED_VALUE"""),19)</f>
        <v>19</v>
      </c>
      <c r="O29" s="48">
        <f ca="1">IFERROR(__xludf.DUMMYFUNCTION("""COMPUTED_VALUE"""),37)</f>
        <v>37</v>
      </c>
      <c r="P29" s="48">
        <f ca="1">IFERROR(__xludf.DUMMYFUNCTION("""COMPUTED_VALUE"""),62)</f>
        <v>62</v>
      </c>
      <c r="Q29" s="48">
        <f ca="1">IFERROR(__xludf.DUMMYFUNCTION("""COMPUTED_VALUE"""),41)</f>
        <v>41</v>
      </c>
      <c r="R29" s="48">
        <f ca="1">IFERROR(__xludf.DUMMYFUNCTION("""COMPUTED_VALUE"""),47)</f>
        <v>47</v>
      </c>
      <c r="S29" s="48">
        <f ca="1">IFERROR(__xludf.DUMMYFUNCTION("""COMPUTED_VALUE"""),466)</f>
        <v>466</v>
      </c>
    </row>
    <row r="30" spans="1:19">
      <c r="A30" s="46" t="str">
        <f ca="1">IFERROR(__xludf.DUMMYFUNCTION("""COMPUTED_VALUE"""),"PODAS DE ÁRBOLES")</f>
        <v>PODAS DE ÁRBOLES</v>
      </c>
      <c r="B30" s="46">
        <f ca="1">IFERROR(__xludf.DUMMYFUNCTION("""COMPUTED_VALUE"""),10)</f>
        <v>10</v>
      </c>
      <c r="C30" s="46" t="str">
        <f ca="1">IFERROR(__xludf.DUMMYFUNCTION("""COMPUTED_VALUE"""),"PODAS EN ESPACIOS PUBLICOS")</f>
        <v>PODAS EN ESPACIOS PUBLICOS</v>
      </c>
      <c r="D30" s="46" t="str">
        <f ca="1">IFERROR(__xludf.DUMMYFUNCTION("""COMPUTED_VALUE"""),"ASCENDENTE")</f>
        <v>ASCENDENTE</v>
      </c>
      <c r="E30" s="46" t="str">
        <f ca="1">IFERROR(__xludf.DUMMYFUNCTION("""COMPUTED_VALUE"""),"BITACORA OPERATIVA")</f>
        <v>BITACORA OPERATIVA</v>
      </c>
      <c r="F30" s="47">
        <f ca="1">IFERROR(__xludf.DUMMYFUNCTION("""COMPUTED_VALUE"""),590)</f>
        <v>590</v>
      </c>
      <c r="G30" s="48">
        <f ca="1">IFERROR(__xludf.DUMMYFUNCTION("""COMPUTED_VALUE"""),13)</f>
        <v>13</v>
      </c>
      <c r="H30" s="48">
        <f ca="1">IFERROR(__xludf.DUMMYFUNCTION("""COMPUTED_VALUE"""),16)</f>
        <v>16</v>
      </c>
      <c r="I30" s="48">
        <f ca="1">IFERROR(__xludf.DUMMYFUNCTION("""COMPUTED_VALUE"""),15)</f>
        <v>15</v>
      </c>
      <c r="J30" s="48">
        <f ca="1">IFERROR(__xludf.DUMMYFUNCTION("""COMPUTED_VALUE"""),2)</f>
        <v>2</v>
      </c>
      <c r="K30" s="48">
        <f ca="1">IFERROR(__xludf.DUMMYFUNCTION("""COMPUTED_VALUE"""),1)</f>
        <v>1</v>
      </c>
      <c r="L30" s="48">
        <f ca="1">IFERROR(__xludf.DUMMYFUNCTION("""COMPUTED_VALUE"""),1)</f>
        <v>1</v>
      </c>
      <c r="M30" s="48">
        <f ca="1">IFERROR(__xludf.DUMMYFUNCTION("""COMPUTED_VALUE"""),0)</f>
        <v>0</v>
      </c>
      <c r="N30" s="48">
        <f ca="1">IFERROR(__xludf.DUMMYFUNCTION("""COMPUTED_VALUE"""),0)</f>
        <v>0</v>
      </c>
      <c r="O30" s="48">
        <f ca="1">IFERROR(__xludf.DUMMYFUNCTION("""COMPUTED_VALUE"""),0)</f>
        <v>0</v>
      </c>
      <c r="P30" s="48">
        <f ca="1">IFERROR(__xludf.DUMMYFUNCTION("""COMPUTED_VALUE"""),4)</f>
        <v>4</v>
      </c>
      <c r="Q30" s="48">
        <f ca="1">IFERROR(__xludf.DUMMYFUNCTION("""COMPUTED_VALUE"""),1)</f>
        <v>1</v>
      </c>
      <c r="R30" s="48">
        <f ca="1">IFERROR(__xludf.DUMMYFUNCTION("""COMPUTED_VALUE"""),6)</f>
        <v>6</v>
      </c>
      <c r="S30" s="48">
        <f ca="1">IFERROR(__xludf.DUMMYFUNCTION("""COMPUTED_VALUE"""),59)</f>
        <v>59</v>
      </c>
    </row>
    <row r="31" spans="1:19">
      <c r="A31" s="46" t="str">
        <f ca="1">IFERROR(__xludf.DUMMYFUNCTION("""COMPUTED_VALUE"""),"PODAS EN ESCUELAS")</f>
        <v>PODAS EN ESCUELAS</v>
      </c>
      <c r="B31" s="46">
        <f ca="1">IFERROR(__xludf.DUMMYFUNCTION("""COMPUTED_VALUE"""),120)</f>
        <v>120</v>
      </c>
      <c r="C31" s="46" t="str">
        <f ca="1">IFERROR(__xludf.DUMMYFUNCTION("""COMPUTED_VALUE"""),"PODAS A ESCUELAS")</f>
        <v>PODAS A ESCUELAS</v>
      </c>
      <c r="D31" s="46" t="str">
        <f ca="1">IFERROR(__xludf.DUMMYFUNCTION("""COMPUTED_VALUE"""),"ASCENDENTE")</f>
        <v>ASCENDENTE</v>
      </c>
      <c r="E31" s="46" t="str">
        <f ca="1">IFERROR(__xludf.DUMMYFUNCTION("""COMPUTED_VALUE"""),"BITACORA OPERATIVA")</f>
        <v>BITACORA OPERATIVA</v>
      </c>
      <c r="F31" s="47">
        <f ca="1">IFERROR(__xludf.DUMMYFUNCTION("""COMPUTED_VALUE"""),172.5)</f>
        <v>172.5</v>
      </c>
      <c r="G31" s="48">
        <f ca="1">IFERROR(__xludf.DUMMYFUNCTION("""COMPUTED_VALUE"""),50)</f>
        <v>50</v>
      </c>
      <c r="H31" s="48">
        <f ca="1">IFERROR(__xludf.DUMMYFUNCTION("""COMPUTED_VALUE"""),30)</f>
        <v>30</v>
      </c>
      <c r="I31" s="48">
        <f ca="1">IFERROR(__xludf.DUMMYFUNCTION("""COMPUTED_VALUE"""),10)</f>
        <v>10</v>
      </c>
      <c r="J31" s="48">
        <f ca="1">IFERROR(__xludf.DUMMYFUNCTION("""COMPUTED_VALUE"""),8)</f>
        <v>8</v>
      </c>
      <c r="K31" s="48">
        <f ca="1">IFERROR(__xludf.DUMMYFUNCTION("""COMPUTED_VALUE"""),14)</f>
        <v>14</v>
      </c>
      <c r="L31" s="48">
        <f ca="1">IFERROR(__xludf.DUMMYFUNCTION("""COMPUTED_VALUE"""),32)</f>
        <v>32</v>
      </c>
      <c r="M31" s="48">
        <f ca="1">IFERROR(__xludf.DUMMYFUNCTION("""COMPUTED_VALUE"""),9)</f>
        <v>9</v>
      </c>
      <c r="N31" s="48">
        <f ca="1">IFERROR(__xludf.DUMMYFUNCTION("""COMPUTED_VALUE"""),10)</f>
        <v>10</v>
      </c>
      <c r="O31" s="48">
        <f ca="1">IFERROR(__xludf.DUMMYFUNCTION("""COMPUTED_VALUE"""),15)</f>
        <v>15</v>
      </c>
      <c r="P31" s="48">
        <f ca="1">IFERROR(__xludf.DUMMYFUNCTION("""COMPUTED_VALUE"""),3)</f>
        <v>3</v>
      </c>
      <c r="Q31" s="48">
        <f ca="1">IFERROR(__xludf.DUMMYFUNCTION("""COMPUTED_VALUE"""),16)</f>
        <v>16</v>
      </c>
      <c r="R31" s="48">
        <f ca="1">IFERROR(__xludf.DUMMYFUNCTION("""COMPUTED_VALUE"""),10)</f>
        <v>10</v>
      </c>
      <c r="S31" s="48">
        <f ca="1">IFERROR(__xludf.DUMMYFUNCTION("""COMPUTED_VALUE"""),207)</f>
        <v>207</v>
      </c>
    </row>
    <row r="32" spans="1:19">
      <c r="A32" s="46" t="str">
        <f ca="1">IFERROR(__xludf.DUMMYFUNCTION("""COMPUTED_VALUE"""),"SACRIFICIO DE RESES")</f>
        <v>SACRIFICIO DE RESES</v>
      </c>
      <c r="B32" s="46">
        <f ca="1">IFERROR(__xludf.DUMMYFUNCTION("""COMPUTED_VALUE"""),2400)</f>
        <v>2400</v>
      </c>
      <c r="C32" s="46" t="str">
        <f ca="1">IFERROR(__xludf.DUMMYFUNCTION("""COMPUTED_VALUE"""),"SACRIFICIOS DE RESES")</f>
        <v>SACRIFICIOS DE RESES</v>
      </c>
      <c r="D32" s="46" t="str">
        <f ca="1">IFERROR(__xludf.DUMMYFUNCTION("""COMPUTED_VALUE"""),"ASCENDENTE")</f>
        <v>ASCENDENTE</v>
      </c>
      <c r="E32" s="46" t="str">
        <f ca="1">IFERROR(__xludf.DUMMYFUNCTION("""COMPUTED_VALUE"""),"BITACORA OPERATIVA")</f>
        <v>BITACORA OPERATIVA</v>
      </c>
      <c r="F32" s="47">
        <f ca="1">IFERROR(__xludf.DUMMYFUNCTION("""COMPUTED_VALUE"""),107.333333333333)</f>
        <v>107.333333333333</v>
      </c>
      <c r="G32" s="48">
        <f ca="1">IFERROR(__xludf.DUMMYFUNCTION("""COMPUTED_VALUE"""),0)</f>
        <v>0</v>
      </c>
      <c r="H32" s="48">
        <f ca="1">IFERROR(__xludf.DUMMYFUNCTION("""COMPUTED_VALUE"""),270)</f>
        <v>270</v>
      </c>
      <c r="I32" s="48">
        <f ca="1">IFERROR(__xludf.DUMMYFUNCTION("""COMPUTED_VALUE"""),433)</f>
        <v>433</v>
      </c>
      <c r="J32" s="48">
        <f ca="1">IFERROR(__xludf.DUMMYFUNCTION("""COMPUTED_VALUE"""),240)</f>
        <v>240</v>
      </c>
      <c r="K32" s="48">
        <f ca="1">IFERROR(__xludf.DUMMYFUNCTION("""COMPUTED_VALUE"""),224)</f>
        <v>224</v>
      </c>
      <c r="L32" s="48">
        <f ca="1">IFERROR(__xludf.DUMMYFUNCTION("""COMPUTED_VALUE"""),185)</f>
        <v>185</v>
      </c>
      <c r="M32" s="48">
        <f ca="1">IFERROR(__xludf.DUMMYFUNCTION("""COMPUTED_VALUE"""),210)</f>
        <v>210</v>
      </c>
      <c r="N32" s="48">
        <f ca="1">IFERROR(__xludf.DUMMYFUNCTION("""COMPUTED_VALUE"""),190)</f>
        <v>190</v>
      </c>
      <c r="O32" s="48">
        <f ca="1">IFERROR(__xludf.DUMMYFUNCTION("""COMPUTED_VALUE"""),0)</f>
        <v>0</v>
      </c>
      <c r="P32" s="48">
        <f ca="1">IFERROR(__xludf.DUMMYFUNCTION("""COMPUTED_VALUE"""),293)</f>
        <v>293</v>
      </c>
      <c r="Q32" s="48">
        <f ca="1">IFERROR(__xludf.DUMMYFUNCTION("""COMPUTED_VALUE"""),254)</f>
        <v>254</v>
      </c>
      <c r="R32" s="48">
        <f ca="1">IFERROR(__xludf.DUMMYFUNCTION("""COMPUTED_VALUE"""),277)</f>
        <v>277</v>
      </c>
      <c r="S32" s="48">
        <f ca="1">IFERROR(__xludf.DUMMYFUNCTION("""COMPUTED_VALUE"""),2576)</f>
        <v>2576</v>
      </c>
    </row>
    <row r="33" spans="1:19">
      <c r="A33" s="46" t="str">
        <f ca="1">IFERROR(__xludf.DUMMYFUNCTION("""COMPUTED_VALUE"""),"SACRIFICIOS DE CERDOS")</f>
        <v>SACRIFICIOS DE CERDOS</v>
      </c>
      <c r="B33" s="46">
        <f ca="1">IFERROR(__xludf.DUMMYFUNCTION("""COMPUTED_VALUE"""),5760)</f>
        <v>5760</v>
      </c>
      <c r="C33" s="46" t="str">
        <f ca="1">IFERROR(__xludf.DUMMYFUNCTION("""COMPUTED_VALUE"""),"SACRIFICIOS DE CERDOS")</f>
        <v>SACRIFICIOS DE CERDOS</v>
      </c>
      <c r="D33" s="46" t="str">
        <f ca="1">IFERROR(__xludf.DUMMYFUNCTION("""COMPUTED_VALUE"""),"ASCENDENTE")</f>
        <v>ASCENDENTE</v>
      </c>
      <c r="E33" s="46" t="str">
        <f ca="1">IFERROR(__xludf.DUMMYFUNCTION("""COMPUTED_VALUE"""),"BITACORA OPERATIVA")</f>
        <v>BITACORA OPERATIVA</v>
      </c>
      <c r="F33" s="47">
        <f ca="1">IFERROR(__xludf.DUMMYFUNCTION("""COMPUTED_VALUE"""),96.3368055555555)</f>
        <v>96.3368055555555</v>
      </c>
      <c r="G33" s="48">
        <f ca="1">IFERROR(__xludf.DUMMYFUNCTION("""COMPUTED_VALUE"""),564)</f>
        <v>564</v>
      </c>
      <c r="H33" s="48">
        <f ca="1">IFERROR(__xludf.DUMMYFUNCTION("""COMPUTED_VALUE"""),564)</f>
        <v>564</v>
      </c>
      <c r="I33" s="48">
        <f ca="1">IFERROR(__xludf.DUMMYFUNCTION("""COMPUTED_VALUE"""),828)</f>
        <v>828</v>
      </c>
      <c r="J33" s="48">
        <f ca="1">IFERROR(__xludf.DUMMYFUNCTION("""COMPUTED_VALUE"""),595)</f>
        <v>595</v>
      </c>
      <c r="K33" s="48">
        <f ca="1">IFERROR(__xludf.DUMMYFUNCTION("""COMPUTED_VALUE"""),529)</f>
        <v>529</v>
      </c>
      <c r="L33" s="48">
        <f ca="1">IFERROR(__xludf.DUMMYFUNCTION("""COMPUTED_VALUE"""),495)</f>
        <v>495</v>
      </c>
      <c r="M33" s="48">
        <f ca="1">IFERROR(__xludf.DUMMYFUNCTION("""COMPUTED_VALUE"""),510)</f>
        <v>510</v>
      </c>
      <c r="N33" s="48">
        <f ca="1">IFERROR(__xludf.DUMMYFUNCTION("""COMPUTED_VALUE"""),475)</f>
        <v>475</v>
      </c>
      <c r="O33" s="48">
        <f ca="1">IFERROR(__xludf.DUMMYFUNCTION("""COMPUTED_VALUE"""),0)</f>
        <v>0</v>
      </c>
      <c r="P33" s="48">
        <f ca="1">IFERROR(__xludf.DUMMYFUNCTION("""COMPUTED_VALUE"""),347)</f>
        <v>347</v>
      </c>
      <c r="Q33" s="48">
        <f ca="1">IFERROR(__xludf.DUMMYFUNCTION("""COMPUTED_VALUE"""),347)</f>
        <v>347</v>
      </c>
      <c r="R33" s="48">
        <f ca="1">IFERROR(__xludf.DUMMYFUNCTION("""COMPUTED_VALUE"""),295)</f>
        <v>295</v>
      </c>
      <c r="S33" s="48">
        <f ca="1">IFERROR(__xludf.DUMMYFUNCTION("""COMPUTED_VALUE"""),5549)</f>
        <v>5549</v>
      </c>
    </row>
    <row r="34" spans="1:19">
      <c r="A34" s="46" t="str">
        <f ca="1">IFERROR(__xludf.DUMMYFUNCTION("""COMPUTED_VALUE"""),"TOTAL DE ANIMALES RESGUARDADOS")</f>
        <v>TOTAL DE ANIMALES RESGUARDADOS</v>
      </c>
      <c r="B34" s="46">
        <f ca="1">IFERROR(__xludf.DUMMYFUNCTION("""COMPUTED_VALUE"""),8040)</f>
        <v>8040</v>
      </c>
      <c r="C34" s="46" t="str">
        <f ca="1">IFERROR(__xludf.DUMMYFUNCTION("""COMPUTED_VALUE"""),"ANIMALES RESGUARDADOS")</f>
        <v>ANIMALES RESGUARDADOS</v>
      </c>
      <c r="D34" s="46" t="str">
        <f ca="1">IFERROR(__xludf.DUMMYFUNCTION("""COMPUTED_VALUE"""),"ASCENDENTE")</f>
        <v>ASCENDENTE</v>
      </c>
      <c r="E34" s="46" t="str">
        <f ca="1">IFERROR(__xludf.DUMMYFUNCTION("""COMPUTED_VALUE"""),"BITACORA OPERATIVA")</f>
        <v>BITACORA OPERATIVA</v>
      </c>
      <c r="F34" s="47">
        <f ca="1">IFERROR(__xludf.DUMMYFUNCTION("""COMPUTED_VALUE"""),104.78855721393)</f>
        <v>104.78855721393001</v>
      </c>
      <c r="G34" s="48">
        <f ca="1">IFERROR(__xludf.DUMMYFUNCTION("""COMPUTED_VALUE"""),840)</f>
        <v>840</v>
      </c>
      <c r="H34" s="48">
        <f ca="1">IFERROR(__xludf.DUMMYFUNCTION("""COMPUTED_VALUE"""),840)</f>
        <v>840</v>
      </c>
      <c r="I34" s="48">
        <f ca="1">IFERROR(__xludf.DUMMYFUNCTION("""COMPUTED_VALUE"""),1261)</f>
        <v>1261</v>
      </c>
      <c r="J34" s="48">
        <f ca="1">IFERROR(__xludf.DUMMYFUNCTION("""COMPUTED_VALUE"""),835)</f>
        <v>835</v>
      </c>
      <c r="K34" s="48">
        <f ca="1">IFERROR(__xludf.DUMMYFUNCTION("""COMPUTED_VALUE"""),753)</f>
        <v>753</v>
      </c>
      <c r="L34" s="48">
        <f ca="1">IFERROR(__xludf.DUMMYFUNCTION("""COMPUTED_VALUE"""),680)</f>
        <v>680</v>
      </c>
      <c r="M34" s="48">
        <f ca="1">IFERROR(__xludf.DUMMYFUNCTION("""COMPUTED_VALUE"""),729)</f>
        <v>729</v>
      </c>
      <c r="N34" s="48">
        <f ca="1">IFERROR(__xludf.DUMMYFUNCTION("""COMPUTED_VALUE"""),674)</f>
        <v>674</v>
      </c>
      <c r="O34" s="48">
        <f ca="1">IFERROR(__xludf.DUMMYFUNCTION("""COMPUTED_VALUE"""),0)</f>
        <v>0</v>
      </c>
      <c r="P34" s="48">
        <f ca="1">IFERROR(__xludf.DUMMYFUNCTION("""COMPUTED_VALUE"""),640)</f>
        <v>640</v>
      </c>
      <c r="Q34" s="48">
        <f ca="1">IFERROR(__xludf.DUMMYFUNCTION("""COMPUTED_VALUE"""),601)</f>
        <v>601</v>
      </c>
      <c r="R34" s="48">
        <f ca="1">IFERROR(__xludf.DUMMYFUNCTION("""COMPUTED_VALUE"""),572)</f>
        <v>572</v>
      </c>
      <c r="S34" s="48">
        <f ca="1">IFERROR(__xludf.DUMMYFUNCTION("""COMPUTED_VALUE"""),8425)</f>
        <v>8425</v>
      </c>
    </row>
    <row r="35" spans="1:19">
      <c r="A35" s="46" t="str">
        <f ca="1">IFERROR(__xludf.DUMMYFUNCTION("""COMPUTED_VALUE"""),"DECOMISOS (KG)")</f>
        <v>DECOMISOS (KG)</v>
      </c>
      <c r="B35" s="46">
        <f ca="1">IFERROR(__xludf.DUMMYFUNCTION("""COMPUTED_VALUE"""),12)</f>
        <v>12</v>
      </c>
      <c r="C35" s="46" t="str">
        <f ca="1">IFERROR(__xludf.DUMMYFUNCTION("""COMPUTED_VALUE"""),"DECOMISOS")</f>
        <v>DECOMISOS</v>
      </c>
      <c r="D35" s="46" t="str">
        <f ca="1">IFERROR(__xludf.DUMMYFUNCTION("""COMPUTED_VALUE"""),"ASCENDENTE")</f>
        <v>ASCENDENTE</v>
      </c>
      <c r="E35" s="46" t="str">
        <f ca="1">IFERROR(__xludf.DUMMYFUNCTION("""COMPUTED_VALUE"""),"BITACORA OPERATIVA")</f>
        <v>BITACORA OPERATIVA</v>
      </c>
      <c r="F35" s="47">
        <f ca="1">IFERROR(__xludf.DUMMYFUNCTION("""COMPUTED_VALUE"""),226500)</f>
        <v>226500</v>
      </c>
      <c r="G35" s="48">
        <f ca="1">IFERROR(__xludf.DUMMYFUNCTION("""COMPUTED_VALUE"""),180)</f>
        <v>180</v>
      </c>
      <c r="H35" s="48">
        <f ca="1">IFERROR(__xludf.DUMMYFUNCTION("""COMPUTED_VALUE"""),250)</f>
        <v>250</v>
      </c>
      <c r="I35" s="48">
        <f ca="1">IFERROR(__xludf.DUMMYFUNCTION("""COMPUTED_VALUE"""),350)</f>
        <v>350</v>
      </c>
      <c r="J35" s="48">
        <f ca="1">IFERROR(__xludf.DUMMYFUNCTION("""COMPUTED_VALUE"""),0)</f>
        <v>0</v>
      </c>
      <c r="K35" s="48">
        <f ca="1">IFERROR(__xludf.DUMMYFUNCTION("""COMPUTED_VALUE"""),0)</f>
        <v>0</v>
      </c>
      <c r="L35" s="48">
        <f ca="1">IFERROR(__xludf.DUMMYFUNCTION("""COMPUTED_VALUE"""),0)</f>
        <v>0</v>
      </c>
      <c r="M35" s="48">
        <f ca="1">IFERROR(__xludf.DUMMYFUNCTION("""COMPUTED_VALUE"""),0)</f>
        <v>0</v>
      </c>
      <c r="N35" s="48">
        <f ca="1">IFERROR(__xludf.DUMMYFUNCTION("""COMPUTED_VALUE"""),0)</f>
        <v>0</v>
      </c>
      <c r="O35" s="48">
        <f ca="1">IFERROR(__xludf.DUMMYFUNCTION("""COMPUTED_VALUE"""),0)</f>
        <v>0</v>
      </c>
      <c r="P35" s="48">
        <f ca="1">IFERROR(__xludf.DUMMYFUNCTION("""COMPUTED_VALUE"""),13800)</f>
        <v>13800</v>
      </c>
      <c r="Q35" s="48">
        <f ca="1">IFERROR(__xludf.DUMMYFUNCTION("""COMPUTED_VALUE"""),0)</f>
        <v>0</v>
      </c>
      <c r="R35" s="48">
        <f ca="1">IFERROR(__xludf.DUMMYFUNCTION("""COMPUTED_VALUE"""),12600)</f>
        <v>12600</v>
      </c>
      <c r="S35" s="48">
        <f ca="1">IFERROR(__xludf.DUMMYFUNCTION("""COMPUTED_VALUE"""),27180)</f>
        <v>27180</v>
      </c>
    </row>
    <row r="36" spans="1:19">
      <c r="A36" s="46" t="str">
        <f ca="1">IFERROR(__xludf.DUMMYFUNCTION("""COMPUTED_VALUE"""),"TOTAL DE ANIMALES DECOMISADOS")</f>
        <v>TOTAL DE ANIMALES DECOMISADOS</v>
      </c>
      <c r="B36" s="46">
        <f ca="1">IFERROR(__xludf.DUMMYFUNCTION("""COMPUTED_VALUE"""),1)</f>
        <v>1</v>
      </c>
      <c r="C36" s="46" t="str">
        <f ca="1">IFERROR(__xludf.DUMMYFUNCTION("""COMPUTED_VALUE"""),"DECOMISOS")</f>
        <v>DECOMISOS</v>
      </c>
      <c r="D36" s="46" t="str">
        <f ca="1">IFERROR(__xludf.DUMMYFUNCTION("""COMPUTED_VALUE"""),"ASCENDENTE")</f>
        <v>ASCENDENTE</v>
      </c>
      <c r="E36" s="46" t="str">
        <f ca="1">IFERROR(__xludf.DUMMYFUNCTION("""COMPUTED_VALUE"""),"BITACORA OPERATIVA")</f>
        <v>BITACORA OPERATIVA</v>
      </c>
      <c r="F36" s="47">
        <f ca="1">IFERROR(__xludf.DUMMYFUNCTION("""COMPUTED_VALUE"""),0)</f>
        <v>0</v>
      </c>
      <c r="G36" s="48">
        <f ca="1">IFERROR(__xludf.DUMMYFUNCTION("""COMPUTED_VALUE"""),0)</f>
        <v>0</v>
      </c>
      <c r="H36" s="48">
        <f ca="1">IFERROR(__xludf.DUMMYFUNCTION("""COMPUTED_VALUE"""),0)</f>
        <v>0</v>
      </c>
      <c r="I36" s="48">
        <f ca="1">IFERROR(__xludf.DUMMYFUNCTION("""COMPUTED_VALUE"""),0)</f>
        <v>0</v>
      </c>
      <c r="J36" s="48">
        <f ca="1">IFERROR(__xludf.DUMMYFUNCTION("""COMPUTED_VALUE"""),0)</f>
        <v>0</v>
      </c>
      <c r="K36" s="48">
        <f ca="1">IFERROR(__xludf.DUMMYFUNCTION("""COMPUTED_VALUE"""),0)</f>
        <v>0</v>
      </c>
      <c r="L36" s="48">
        <f ca="1">IFERROR(__xludf.DUMMYFUNCTION("""COMPUTED_VALUE"""),0)</f>
        <v>0</v>
      </c>
      <c r="M36" s="48">
        <f ca="1">IFERROR(__xludf.DUMMYFUNCTION("""COMPUTED_VALUE"""),0)</f>
        <v>0</v>
      </c>
      <c r="N36" s="48">
        <f ca="1">IFERROR(__xludf.DUMMYFUNCTION("""COMPUTED_VALUE"""),0)</f>
        <v>0</v>
      </c>
      <c r="O36" s="48">
        <f ca="1">IFERROR(__xludf.DUMMYFUNCTION("""COMPUTED_VALUE"""),0)</f>
        <v>0</v>
      </c>
      <c r="P36" s="48">
        <f ca="1">IFERROR(__xludf.DUMMYFUNCTION("""COMPUTED_VALUE"""),0)</f>
        <v>0</v>
      </c>
      <c r="Q36" s="48">
        <f ca="1">IFERROR(__xludf.DUMMYFUNCTION("""COMPUTED_VALUE"""),0)</f>
        <v>0</v>
      </c>
      <c r="R36" s="48">
        <f ca="1">IFERROR(__xludf.DUMMYFUNCTION("""COMPUTED_VALUE"""),0)</f>
        <v>0</v>
      </c>
      <c r="S36" s="48">
        <f ca="1">IFERROR(__xludf.DUMMYFUNCTION("""COMPUTED_VALUE"""),0)</f>
        <v>0</v>
      </c>
    </row>
    <row r="37" spans="1:19">
      <c r="A37" s="46" t="str">
        <f ca="1">IFERROR(__xludf.DUMMYFUNCTION("""COMPUTED_VALUE"""),"NÚMERO DE REPORTES ATENDIDOS")</f>
        <v>NÚMERO DE REPORTES ATENDIDOS</v>
      </c>
      <c r="B37" s="46">
        <f ca="1">IFERROR(__xludf.DUMMYFUNCTION("""COMPUTED_VALUE"""),1)</f>
        <v>1</v>
      </c>
      <c r="C37" s="46" t="str">
        <f ca="1">IFERROR(__xludf.DUMMYFUNCTION("""COMPUTED_VALUE"""),"REPORTES ATENDIDOS")</f>
        <v>REPORTES ATENDIDOS</v>
      </c>
      <c r="D37" s="46" t="str">
        <f ca="1">IFERROR(__xludf.DUMMYFUNCTION("""COMPUTED_VALUE"""),"ASCENDENTE")</f>
        <v>ASCENDENTE</v>
      </c>
      <c r="E37" s="46" t="str">
        <f ca="1">IFERROR(__xludf.DUMMYFUNCTION("""COMPUTED_VALUE"""),"BITACORA OPERATIVA")</f>
        <v>BITACORA OPERATIVA</v>
      </c>
      <c r="F37" s="47">
        <f ca="1">IFERROR(__xludf.DUMMYFUNCTION("""COMPUTED_VALUE"""),700)</f>
        <v>700</v>
      </c>
      <c r="G37" s="48">
        <f ca="1">IFERROR(__xludf.DUMMYFUNCTION("""COMPUTED_VALUE"""),0)</f>
        <v>0</v>
      </c>
      <c r="H37" s="48">
        <f ca="1">IFERROR(__xludf.DUMMYFUNCTION("""COMPUTED_VALUE"""),0)</f>
        <v>0</v>
      </c>
      <c r="I37" s="48">
        <f ca="1">IFERROR(__xludf.DUMMYFUNCTION("""COMPUTED_VALUE"""),2)</f>
        <v>2</v>
      </c>
      <c r="J37" s="48">
        <f ca="1">IFERROR(__xludf.DUMMYFUNCTION("""COMPUTED_VALUE"""),0)</f>
        <v>0</v>
      </c>
      <c r="K37" s="48">
        <f ca="1">IFERROR(__xludf.DUMMYFUNCTION("""COMPUTED_VALUE"""),0)</f>
        <v>0</v>
      </c>
      <c r="L37" s="48">
        <f ca="1">IFERROR(__xludf.DUMMYFUNCTION("""COMPUTED_VALUE"""),0)</f>
        <v>0</v>
      </c>
      <c r="M37" s="48">
        <f ca="1">IFERROR(__xludf.DUMMYFUNCTION("""COMPUTED_VALUE"""),0)</f>
        <v>0</v>
      </c>
      <c r="N37" s="48">
        <f ca="1">IFERROR(__xludf.DUMMYFUNCTION("""COMPUTED_VALUE"""),0)</f>
        <v>0</v>
      </c>
      <c r="O37" s="48">
        <f ca="1">IFERROR(__xludf.DUMMYFUNCTION("""COMPUTED_VALUE"""),0)</f>
        <v>0</v>
      </c>
      <c r="P37" s="48">
        <f ca="1">IFERROR(__xludf.DUMMYFUNCTION("""COMPUTED_VALUE"""),0)</f>
        <v>0</v>
      </c>
      <c r="Q37" s="48">
        <f ca="1">IFERROR(__xludf.DUMMYFUNCTION("""COMPUTED_VALUE"""),2)</f>
        <v>2</v>
      </c>
      <c r="R37" s="48">
        <f ca="1">IFERROR(__xludf.DUMMYFUNCTION("""COMPUTED_VALUE"""),3)</f>
        <v>3</v>
      </c>
      <c r="S37" s="48">
        <f ca="1">IFERROR(__xludf.DUMMYFUNCTION("""COMPUTED_VALUE"""),7)</f>
        <v>7</v>
      </c>
    </row>
    <row r="38" spans="1:19">
      <c r="A38" s="46" t="str">
        <f ca="1">IFERROR(__xludf.DUMMYFUNCTION("""COMPUTED_VALUE"""),"NÚMERO DE INSPECCIONES")</f>
        <v>NÚMERO DE INSPECCIONES</v>
      </c>
      <c r="B38" s="46">
        <f ca="1">IFERROR(__xludf.DUMMYFUNCTION("""COMPUTED_VALUE"""),1)</f>
        <v>1</v>
      </c>
      <c r="C38" s="46" t="str">
        <f ca="1">IFERROR(__xludf.DUMMYFUNCTION("""COMPUTED_VALUE"""),"INSPECCIONES")</f>
        <v>INSPECCIONES</v>
      </c>
      <c r="D38" s="46" t="str">
        <f ca="1">IFERROR(__xludf.DUMMYFUNCTION("""COMPUTED_VALUE"""),"ASCENDENTE")</f>
        <v>ASCENDENTE</v>
      </c>
      <c r="E38" s="46" t="str">
        <f ca="1">IFERROR(__xludf.DUMMYFUNCTION("""COMPUTED_VALUE"""),"BITACORA OPERATIVA")</f>
        <v>BITACORA OPERATIVA</v>
      </c>
      <c r="F38" s="47">
        <f ca="1">IFERROR(__xludf.DUMMYFUNCTION("""COMPUTED_VALUE"""),161000)</f>
        <v>161000</v>
      </c>
      <c r="G38" s="48">
        <f ca="1">IFERROR(__xludf.DUMMYFUNCTION("""COMPUTED_VALUE"""),6)</f>
        <v>6</v>
      </c>
      <c r="H38" s="48">
        <f ca="1">IFERROR(__xludf.DUMMYFUNCTION("""COMPUTED_VALUE"""),340)</f>
        <v>340</v>
      </c>
      <c r="I38" s="48">
        <f ca="1">IFERROR(__xludf.DUMMYFUNCTION("""COMPUTED_VALUE"""),364)</f>
        <v>364</v>
      </c>
      <c r="J38" s="48">
        <f ca="1">IFERROR(__xludf.DUMMYFUNCTION("""COMPUTED_VALUE"""),0)</f>
        <v>0</v>
      </c>
      <c r="K38" s="48">
        <f ca="1">IFERROR(__xludf.DUMMYFUNCTION("""COMPUTED_VALUE"""),0)</f>
        <v>0</v>
      </c>
      <c r="L38" s="48">
        <f ca="1">IFERROR(__xludf.DUMMYFUNCTION("""COMPUTED_VALUE"""),0)</f>
        <v>0</v>
      </c>
      <c r="M38" s="48">
        <f ca="1">IFERROR(__xludf.DUMMYFUNCTION("""COMPUTED_VALUE"""),0)</f>
        <v>0</v>
      </c>
      <c r="N38" s="48">
        <f ca="1">IFERROR(__xludf.DUMMYFUNCTION("""COMPUTED_VALUE"""),0)</f>
        <v>0</v>
      </c>
      <c r="O38" s="48">
        <f ca="1">IFERROR(__xludf.DUMMYFUNCTION("""COMPUTED_VALUE"""),0)</f>
        <v>0</v>
      </c>
      <c r="P38" s="48">
        <f ca="1">IFERROR(__xludf.DUMMYFUNCTION("""COMPUTED_VALUE"""),310)</f>
        <v>310</v>
      </c>
      <c r="Q38" s="48">
        <f ca="1">IFERROR(__xludf.DUMMYFUNCTION("""COMPUTED_VALUE"""),300)</f>
        <v>300</v>
      </c>
      <c r="R38" s="48">
        <f ca="1">IFERROR(__xludf.DUMMYFUNCTION("""COMPUTED_VALUE"""),290)</f>
        <v>290</v>
      </c>
      <c r="S38" s="48">
        <f ca="1">IFERROR(__xludf.DUMMYFUNCTION("""COMPUTED_VALUE"""),1610)</f>
        <v>1610</v>
      </c>
    </row>
    <row r="39" spans="1:19">
      <c r="A39" s="46" t="str">
        <f ca="1">IFERROR(__xludf.DUMMYFUNCTION("""COMPUTED_VALUE"""),"OBRADORES")</f>
        <v>OBRADORES</v>
      </c>
      <c r="B39" s="46">
        <f ca="1">IFERROR(__xludf.DUMMYFUNCTION("""COMPUTED_VALUE"""),1)</f>
        <v>1</v>
      </c>
      <c r="C39" s="46" t="str">
        <f ca="1">IFERROR(__xludf.DUMMYFUNCTION("""COMPUTED_VALUE"""),"OBRADOES")</f>
        <v>OBRADOES</v>
      </c>
      <c r="D39" s="46" t="str">
        <f ca="1">IFERROR(__xludf.DUMMYFUNCTION("""COMPUTED_VALUE"""),"ASCENDENTE")</f>
        <v>ASCENDENTE</v>
      </c>
      <c r="E39" s="46" t="str">
        <f ca="1">IFERROR(__xludf.DUMMYFUNCTION("""COMPUTED_VALUE"""),"BITACORA OPERATIVA")</f>
        <v>BITACORA OPERATIVA</v>
      </c>
      <c r="F39" s="47">
        <f ca="1">IFERROR(__xludf.DUMMYFUNCTION("""COMPUTED_VALUE"""),33900)</f>
        <v>33900</v>
      </c>
      <c r="G39" s="48">
        <f ca="1">IFERROR(__xludf.DUMMYFUNCTION("""COMPUTED_VALUE"""),312)</f>
        <v>312</v>
      </c>
      <c r="H39" s="48">
        <f ca="1">IFERROR(__xludf.DUMMYFUNCTION("""COMPUTED_VALUE"""),6)</f>
        <v>6</v>
      </c>
      <c r="I39" s="48">
        <f ca="1">IFERROR(__xludf.DUMMYFUNCTION("""COMPUTED_VALUE"""),6)</f>
        <v>6</v>
      </c>
      <c r="J39" s="48">
        <f ca="1">IFERROR(__xludf.DUMMYFUNCTION("""COMPUTED_VALUE"""),0)</f>
        <v>0</v>
      </c>
      <c r="K39" s="48">
        <f ca="1">IFERROR(__xludf.DUMMYFUNCTION("""COMPUTED_VALUE"""),0)</f>
        <v>0</v>
      </c>
      <c r="L39" s="48">
        <f ca="1">IFERROR(__xludf.DUMMYFUNCTION("""COMPUTED_VALUE"""),0)</f>
        <v>0</v>
      </c>
      <c r="M39" s="48">
        <f ca="1">IFERROR(__xludf.DUMMYFUNCTION("""COMPUTED_VALUE"""),0)</f>
        <v>0</v>
      </c>
      <c r="N39" s="48">
        <f ca="1">IFERROR(__xludf.DUMMYFUNCTION("""COMPUTED_VALUE"""),0)</f>
        <v>0</v>
      </c>
      <c r="O39" s="48">
        <f ca="1">IFERROR(__xludf.DUMMYFUNCTION("""COMPUTED_VALUE"""),0)</f>
        <v>0</v>
      </c>
      <c r="P39" s="48">
        <f ca="1">IFERROR(__xludf.DUMMYFUNCTION("""COMPUTED_VALUE"""),5)</f>
        <v>5</v>
      </c>
      <c r="Q39" s="48">
        <f ca="1">IFERROR(__xludf.DUMMYFUNCTION("""COMPUTED_VALUE"""),5)</f>
        <v>5</v>
      </c>
      <c r="R39" s="48">
        <f ca="1">IFERROR(__xludf.DUMMYFUNCTION("""COMPUTED_VALUE"""),5)</f>
        <v>5</v>
      </c>
      <c r="S39" s="48">
        <f ca="1">IFERROR(__xludf.DUMMYFUNCTION("""COMPUTED_VALUE"""),339)</f>
        <v>339</v>
      </c>
    </row>
    <row r="40" spans="1:19">
      <c r="A40" s="46" t="str">
        <f ca="1">IFERROR(__xludf.DUMMYFUNCTION("""COMPUTED_VALUE"""),"POLLERIAS")</f>
        <v>POLLERIAS</v>
      </c>
      <c r="B40" s="46">
        <f ca="1">IFERROR(__xludf.DUMMYFUNCTION("""COMPUTED_VALUE"""),1)</f>
        <v>1</v>
      </c>
      <c r="C40" s="46" t="str">
        <f ca="1">IFERROR(__xludf.DUMMYFUNCTION("""COMPUTED_VALUE"""),"POLLERIAS")</f>
        <v>POLLERIAS</v>
      </c>
      <c r="D40" s="46" t="str">
        <f ca="1">IFERROR(__xludf.DUMMYFUNCTION("""COMPUTED_VALUE"""),"ASCENDENTE")</f>
        <v>ASCENDENTE</v>
      </c>
      <c r="E40" s="46" t="str">
        <f ca="1">IFERROR(__xludf.DUMMYFUNCTION("""COMPUTED_VALUE"""),"BITACORA OPERATIVA")</f>
        <v>BITACORA OPERATIVA</v>
      </c>
      <c r="F40" s="47">
        <f ca="1">IFERROR(__xludf.DUMMYFUNCTION("""COMPUTED_VALUE"""),5700)</f>
        <v>5700</v>
      </c>
      <c r="G40" s="48">
        <f ca="1">IFERROR(__xludf.DUMMYFUNCTION("""COMPUTED_VALUE"""),12)</f>
        <v>12</v>
      </c>
      <c r="H40" s="48">
        <f ca="1">IFERROR(__xludf.DUMMYFUNCTION("""COMPUTED_VALUE"""),12)</f>
        <v>12</v>
      </c>
      <c r="I40" s="48">
        <f ca="1">IFERROR(__xludf.DUMMYFUNCTION("""COMPUTED_VALUE"""),12)</f>
        <v>12</v>
      </c>
      <c r="J40" s="48">
        <f ca="1">IFERROR(__xludf.DUMMYFUNCTION("""COMPUTED_VALUE"""),0)</f>
        <v>0</v>
      </c>
      <c r="K40" s="48">
        <f ca="1">IFERROR(__xludf.DUMMYFUNCTION("""COMPUTED_VALUE"""),0)</f>
        <v>0</v>
      </c>
      <c r="L40" s="48">
        <f ca="1">IFERROR(__xludf.DUMMYFUNCTION("""COMPUTED_VALUE"""),0)</f>
        <v>0</v>
      </c>
      <c r="M40" s="48">
        <f ca="1">IFERROR(__xludf.DUMMYFUNCTION("""COMPUTED_VALUE"""),0)</f>
        <v>0</v>
      </c>
      <c r="N40" s="48">
        <f ca="1">IFERROR(__xludf.DUMMYFUNCTION("""COMPUTED_VALUE"""),0)</f>
        <v>0</v>
      </c>
      <c r="O40" s="48">
        <f ca="1">IFERROR(__xludf.DUMMYFUNCTION("""COMPUTED_VALUE"""),0)</f>
        <v>0</v>
      </c>
      <c r="P40" s="48">
        <f ca="1">IFERROR(__xludf.DUMMYFUNCTION("""COMPUTED_VALUE"""),7)</f>
        <v>7</v>
      </c>
      <c r="Q40" s="48">
        <f ca="1">IFERROR(__xludf.DUMMYFUNCTION("""COMPUTED_VALUE"""),7)</f>
        <v>7</v>
      </c>
      <c r="R40" s="48">
        <f ca="1">IFERROR(__xludf.DUMMYFUNCTION("""COMPUTED_VALUE"""),7)</f>
        <v>7</v>
      </c>
      <c r="S40" s="48">
        <f ca="1">IFERROR(__xludf.DUMMYFUNCTION("""COMPUTED_VALUE"""),57)</f>
        <v>57</v>
      </c>
    </row>
    <row r="41" spans="1:19">
      <c r="A41" s="46" t="str">
        <f ca="1">IFERROR(__xludf.DUMMYFUNCTION("""COMPUTED_VALUE"""),"CARNICERIAS")</f>
        <v>CARNICERIAS</v>
      </c>
      <c r="B41" s="46">
        <f ca="1">IFERROR(__xludf.DUMMYFUNCTION("""COMPUTED_VALUE"""),1)</f>
        <v>1</v>
      </c>
      <c r="C41" s="46" t="str">
        <f ca="1">IFERROR(__xludf.DUMMYFUNCTION("""COMPUTED_VALUE"""),"CARNICERIAS")</f>
        <v>CARNICERIAS</v>
      </c>
      <c r="D41" s="46" t="str">
        <f ca="1">IFERROR(__xludf.DUMMYFUNCTION("""COMPUTED_VALUE"""),"ASCENDENTE")</f>
        <v>ASCENDENTE</v>
      </c>
      <c r="E41" s="46" t="str">
        <f ca="1">IFERROR(__xludf.DUMMYFUNCTION("""COMPUTED_VALUE"""),"BITACORA OPERATIVA")</f>
        <v>BITACORA OPERATIVA</v>
      </c>
      <c r="F41" s="47">
        <f ca="1">IFERROR(__xludf.DUMMYFUNCTION("""COMPUTED_VALUE"""),25500)</f>
        <v>25500</v>
      </c>
      <c r="G41" s="48">
        <f ca="1">IFERROR(__xludf.DUMMYFUNCTION("""COMPUTED_VALUE"""),50)</f>
        <v>50</v>
      </c>
      <c r="H41" s="48">
        <f ca="1">IFERROR(__xludf.DUMMYFUNCTION("""COMPUTED_VALUE"""),50)</f>
        <v>50</v>
      </c>
      <c r="I41" s="48">
        <f ca="1">IFERROR(__xludf.DUMMYFUNCTION("""COMPUTED_VALUE"""),50)</f>
        <v>50</v>
      </c>
      <c r="J41" s="48">
        <f ca="1">IFERROR(__xludf.DUMMYFUNCTION("""COMPUTED_VALUE"""),0)</f>
        <v>0</v>
      </c>
      <c r="K41" s="48">
        <f ca="1">IFERROR(__xludf.DUMMYFUNCTION("""COMPUTED_VALUE"""),0)</f>
        <v>0</v>
      </c>
      <c r="L41" s="48">
        <f ca="1">IFERROR(__xludf.DUMMYFUNCTION("""COMPUTED_VALUE"""),0)</f>
        <v>0</v>
      </c>
      <c r="M41" s="48">
        <f ca="1">IFERROR(__xludf.DUMMYFUNCTION("""COMPUTED_VALUE"""),0)</f>
        <v>0</v>
      </c>
      <c r="N41" s="48">
        <f ca="1">IFERROR(__xludf.DUMMYFUNCTION("""COMPUTED_VALUE"""),0)</f>
        <v>0</v>
      </c>
      <c r="O41" s="48">
        <f ca="1">IFERROR(__xludf.DUMMYFUNCTION("""COMPUTED_VALUE"""),0)</f>
        <v>0</v>
      </c>
      <c r="P41" s="48">
        <f ca="1">IFERROR(__xludf.DUMMYFUNCTION("""COMPUTED_VALUE"""),35)</f>
        <v>35</v>
      </c>
      <c r="Q41" s="48">
        <f ca="1">IFERROR(__xludf.DUMMYFUNCTION("""COMPUTED_VALUE"""),35)</f>
        <v>35</v>
      </c>
      <c r="R41" s="48">
        <f ca="1">IFERROR(__xludf.DUMMYFUNCTION("""COMPUTED_VALUE"""),35)</f>
        <v>35</v>
      </c>
      <c r="S41" s="48">
        <f ca="1">IFERROR(__xludf.DUMMYFUNCTION("""COMPUTED_VALUE"""),255)</f>
        <v>255</v>
      </c>
    </row>
    <row r="42" spans="1:19">
      <c r="A42" s="46" t="str">
        <f ca="1">IFERROR(__xludf.DUMMYFUNCTION("""COMPUTED_VALUE"""),"TOTAL DE KG DECOMISADOS")</f>
        <v>TOTAL DE KG DECOMISADOS</v>
      </c>
      <c r="B42" s="46">
        <f ca="1">IFERROR(__xludf.DUMMYFUNCTION("""COMPUTED_VALUE"""),1)</f>
        <v>1</v>
      </c>
      <c r="C42" s="46" t="str">
        <f ca="1">IFERROR(__xludf.DUMMYFUNCTION("""COMPUTED_VALUE"""),"KILOS DECOMISADOS")</f>
        <v>KILOS DECOMISADOS</v>
      </c>
      <c r="D42" s="46" t="str">
        <f ca="1">IFERROR(__xludf.DUMMYFUNCTION("""COMPUTED_VALUE"""),"ASCENDENTE")</f>
        <v>ASCENDENTE</v>
      </c>
      <c r="E42" s="46" t="str">
        <f ca="1">IFERROR(__xludf.DUMMYFUNCTION("""COMPUTED_VALUE"""),"BITACORA OPERATIVA")</f>
        <v>BITACORA OPERATIVA</v>
      </c>
      <c r="F42" s="47">
        <f ca="1">IFERROR(__xludf.DUMMYFUNCTION("""COMPUTED_VALUE"""),1500000)</f>
        <v>1500000</v>
      </c>
      <c r="G42" s="48">
        <f ca="1">IFERROR(__xludf.DUMMYFUNCTION("""COMPUTED_VALUE"""),3000)</f>
        <v>3000</v>
      </c>
      <c r="H42" s="48">
        <f ca="1">IFERROR(__xludf.DUMMYFUNCTION("""COMPUTED_VALUE"""),5000)</f>
        <v>5000</v>
      </c>
      <c r="I42" s="48">
        <f ca="1">IFERROR(__xludf.DUMMYFUNCTION("""COMPUTED_VALUE"""),7000)</f>
        <v>7000</v>
      </c>
      <c r="J42" s="48">
        <f ca="1">IFERROR(__xludf.DUMMYFUNCTION("""COMPUTED_VALUE"""),0)</f>
        <v>0</v>
      </c>
      <c r="K42" s="48">
        <f ca="1">IFERROR(__xludf.DUMMYFUNCTION("""COMPUTED_VALUE"""),0)</f>
        <v>0</v>
      </c>
      <c r="L42" s="48">
        <f ca="1">IFERROR(__xludf.DUMMYFUNCTION("""COMPUTED_VALUE"""),0)</f>
        <v>0</v>
      </c>
      <c r="M42" s="48">
        <f ca="1">IFERROR(__xludf.DUMMYFUNCTION("""COMPUTED_VALUE"""),0)</f>
        <v>0</v>
      </c>
      <c r="N42" s="48">
        <f ca="1">IFERROR(__xludf.DUMMYFUNCTION("""COMPUTED_VALUE"""),0)</f>
        <v>0</v>
      </c>
      <c r="O42" s="48">
        <f ca="1">IFERROR(__xludf.DUMMYFUNCTION("""COMPUTED_VALUE"""),0)</f>
        <v>0</v>
      </c>
      <c r="P42" s="48">
        <f ca="1">IFERROR(__xludf.DUMMYFUNCTION("""COMPUTED_VALUE"""),0)</f>
        <v>0</v>
      </c>
      <c r="Q42" s="48">
        <f ca="1">IFERROR(__xludf.DUMMYFUNCTION("""COMPUTED_VALUE"""),0)</f>
        <v>0</v>
      </c>
      <c r="R42" s="48">
        <f ca="1">IFERROR(__xludf.DUMMYFUNCTION("""COMPUTED_VALUE"""),0)</f>
        <v>0</v>
      </c>
      <c r="S42" s="48">
        <f ca="1">IFERROR(__xludf.DUMMYFUNCTION("""COMPUTED_VALUE"""),15000)</f>
        <v>15000</v>
      </c>
    </row>
    <row r="43" spans="1:19">
      <c r="A43" s="46" t="str">
        <f ca="1">IFERROR(__xludf.DUMMYFUNCTION("""COMPUTED_VALUE"""),"MANTENIMIENTO DE LUMINARIAS DELEGACIONES Y COMUNIDADES")</f>
        <v>MANTENIMIENTO DE LUMINARIAS DELEGACIONES Y COMUNIDADES</v>
      </c>
      <c r="B43" s="46">
        <f ca="1">IFERROR(__xludf.DUMMYFUNCTION("""COMPUTED_VALUE"""),960)</f>
        <v>960</v>
      </c>
      <c r="C43" s="46" t="str">
        <f ca="1">IFERROR(__xludf.DUMMYFUNCTION("""COMPUTED_VALUE"""),"LUMINARIAS REPARADAS EN DELEGACIONES")</f>
        <v>LUMINARIAS REPARADAS EN DELEGACIONES</v>
      </c>
      <c r="D43" s="46" t="str">
        <f ca="1">IFERROR(__xludf.DUMMYFUNCTION("""COMPUTED_VALUE"""),"ASCENDENTE")</f>
        <v>ASCENDENTE</v>
      </c>
      <c r="E43" s="46" t="str">
        <f ca="1">IFERROR(__xludf.DUMMYFUNCTION("""COMPUTED_VALUE"""),"BITACORA OPERATIVA")</f>
        <v>BITACORA OPERATIVA</v>
      </c>
      <c r="F43" s="47">
        <f ca="1">IFERROR(__xludf.DUMMYFUNCTION("""COMPUTED_VALUE"""),158.020833333333)</f>
        <v>158.020833333333</v>
      </c>
      <c r="G43" s="48">
        <f ca="1">IFERROR(__xludf.DUMMYFUNCTION("""COMPUTED_VALUE"""),300)</f>
        <v>300</v>
      </c>
      <c r="H43" s="48">
        <f ca="1">IFERROR(__xludf.DUMMYFUNCTION("""COMPUTED_VALUE"""),250)</f>
        <v>250</v>
      </c>
      <c r="I43" s="48">
        <f ca="1">IFERROR(__xludf.DUMMYFUNCTION("""COMPUTED_VALUE"""),150)</f>
        <v>150</v>
      </c>
      <c r="J43" s="48">
        <f ca="1">IFERROR(__xludf.DUMMYFUNCTION("""COMPUTED_VALUE"""),0)</f>
        <v>0</v>
      </c>
      <c r="K43" s="48">
        <f ca="1">IFERROR(__xludf.DUMMYFUNCTION("""COMPUTED_VALUE"""),86)</f>
        <v>86</v>
      </c>
      <c r="L43" s="48">
        <f ca="1">IFERROR(__xludf.DUMMYFUNCTION("""COMPUTED_VALUE"""),93)</f>
        <v>93</v>
      </c>
      <c r="M43" s="48">
        <f ca="1">IFERROR(__xludf.DUMMYFUNCTION("""COMPUTED_VALUE"""),58)</f>
        <v>58</v>
      </c>
      <c r="N43" s="48">
        <f ca="1">IFERROR(__xludf.DUMMYFUNCTION("""COMPUTED_VALUE"""),322)</f>
        <v>322</v>
      </c>
      <c r="O43" s="48">
        <f ca="1">IFERROR(__xludf.DUMMYFUNCTION("""COMPUTED_VALUE"""),38)</f>
        <v>38</v>
      </c>
      <c r="P43" s="48">
        <f ca="1">IFERROR(__xludf.DUMMYFUNCTION("""COMPUTED_VALUE"""),103)</f>
        <v>103</v>
      </c>
      <c r="Q43" s="48">
        <f ca="1">IFERROR(__xludf.DUMMYFUNCTION("""COMPUTED_VALUE"""),112)</f>
        <v>112</v>
      </c>
      <c r="R43" s="48">
        <f ca="1">IFERROR(__xludf.DUMMYFUNCTION("""COMPUTED_VALUE"""),5)</f>
        <v>5</v>
      </c>
      <c r="S43" s="48">
        <f ca="1">IFERROR(__xludf.DUMMYFUNCTION("""COMPUTED_VALUE"""),1517)</f>
        <v>1517</v>
      </c>
    </row>
    <row r="44" spans="1:19">
      <c r="A44" s="46" t="str">
        <f ca="1">IFERROR(__xludf.DUMMYFUNCTION("""COMPUTED_VALUE"""),"MANTENIMIENTO DE LUMINARIAS EN CABECERA MUNICIPAL")</f>
        <v>MANTENIMIENTO DE LUMINARIAS EN CABECERA MUNICIPAL</v>
      </c>
      <c r="B44" s="46">
        <f ca="1">IFERROR(__xludf.DUMMYFUNCTION("""COMPUTED_VALUE"""),1080)</f>
        <v>1080</v>
      </c>
      <c r="C44" s="46" t="str">
        <f ca="1">IFERROR(__xludf.DUMMYFUNCTION("""COMPUTED_VALUE"""),"LUMINARIAS EN CABECERA")</f>
        <v>LUMINARIAS EN CABECERA</v>
      </c>
      <c r="D44" s="46" t="str">
        <f ca="1">IFERROR(__xludf.DUMMYFUNCTION("""COMPUTED_VALUE"""),"ASCENDENTE")</f>
        <v>ASCENDENTE</v>
      </c>
      <c r="E44" s="46" t="str">
        <f ca="1">IFERROR(__xludf.DUMMYFUNCTION("""COMPUTED_VALUE"""),"BITACORA OPERATIVA")</f>
        <v>BITACORA OPERATIVA</v>
      </c>
      <c r="F44" s="47">
        <f ca="1">IFERROR(__xludf.DUMMYFUNCTION("""COMPUTED_VALUE"""),111.111111111111)</f>
        <v>111.111111111111</v>
      </c>
      <c r="G44" s="48">
        <f ca="1">IFERROR(__xludf.DUMMYFUNCTION("""COMPUTED_VALUE"""),100)</f>
        <v>100</v>
      </c>
      <c r="H44" s="48">
        <f ca="1">IFERROR(__xludf.DUMMYFUNCTION("""COMPUTED_VALUE"""),85)</f>
        <v>85</v>
      </c>
      <c r="I44" s="48">
        <f ca="1">IFERROR(__xludf.DUMMYFUNCTION("""COMPUTED_VALUE"""),20)</f>
        <v>20</v>
      </c>
      <c r="J44" s="48">
        <f ca="1">IFERROR(__xludf.DUMMYFUNCTION("""COMPUTED_VALUE"""),0)</f>
        <v>0</v>
      </c>
      <c r="K44" s="48">
        <f ca="1">IFERROR(__xludf.DUMMYFUNCTION("""COMPUTED_VALUE"""),97)</f>
        <v>97</v>
      </c>
      <c r="L44" s="48">
        <f ca="1">IFERROR(__xludf.DUMMYFUNCTION("""COMPUTED_VALUE"""),83)</f>
        <v>83</v>
      </c>
      <c r="M44" s="48">
        <f ca="1">IFERROR(__xludf.DUMMYFUNCTION("""COMPUTED_VALUE"""),131)</f>
        <v>131</v>
      </c>
      <c r="N44" s="48">
        <f ca="1">IFERROR(__xludf.DUMMYFUNCTION("""COMPUTED_VALUE"""),184)</f>
        <v>184</v>
      </c>
      <c r="O44" s="48">
        <f ca="1">IFERROR(__xludf.DUMMYFUNCTION("""COMPUTED_VALUE"""),92)</f>
        <v>92</v>
      </c>
      <c r="P44" s="48">
        <f ca="1">IFERROR(__xludf.DUMMYFUNCTION("""COMPUTED_VALUE"""),159)</f>
        <v>159</v>
      </c>
      <c r="Q44" s="48">
        <f ca="1">IFERROR(__xludf.DUMMYFUNCTION("""COMPUTED_VALUE"""),174)</f>
        <v>174</v>
      </c>
      <c r="R44" s="48">
        <f ca="1">IFERROR(__xludf.DUMMYFUNCTION("""COMPUTED_VALUE"""),75)</f>
        <v>75</v>
      </c>
      <c r="S44" s="48">
        <f ca="1">IFERROR(__xludf.DUMMYFUNCTION("""COMPUTED_VALUE"""),1200)</f>
        <v>1200</v>
      </c>
    </row>
    <row r="45" spans="1:19">
      <c r="A45" s="46" t="str">
        <f ca="1">IFERROR(__xludf.DUMMYFUNCTION("""COMPUTED_VALUE"""),"INSTALACIÓN DE LÁMPARAS NUEVAS DELEGACIONES Y COMUNIDADES")</f>
        <v>INSTALACIÓN DE LÁMPARAS NUEVAS DELEGACIONES Y COMUNIDADES</v>
      </c>
      <c r="B45" s="46">
        <f ca="1">IFERROR(__xludf.DUMMYFUNCTION("""COMPUTED_VALUE"""),84)</f>
        <v>84</v>
      </c>
      <c r="C45" s="46" t="str">
        <f ca="1">IFERROR(__xludf.DUMMYFUNCTION("""COMPUTED_VALUE"""),"INSTALACION LAMPARAS NUEVAS EN DELEGACIONES")</f>
        <v>INSTALACION LAMPARAS NUEVAS EN DELEGACIONES</v>
      </c>
      <c r="D45" s="46" t="str">
        <f ca="1">IFERROR(__xludf.DUMMYFUNCTION("""COMPUTED_VALUE"""),"ASCENDENTE")</f>
        <v>ASCENDENTE</v>
      </c>
      <c r="E45" s="46" t="str">
        <f ca="1">IFERROR(__xludf.DUMMYFUNCTION("""COMPUTED_VALUE"""),"BITACORA OPERATIVA")</f>
        <v>BITACORA OPERATIVA</v>
      </c>
      <c r="F45" s="47">
        <f ca="1">IFERROR(__xludf.DUMMYFUNCTION("""COMPUTED_VALUE"""),234.523809523809)</f>
        <v>234.52380952380901</v>
      </c>
      <c r="G45" s="48">
        <f ca="1">IFERROR(__xludf.DUMMYFUNCTION("""COMPUTED_VALUE"""),10)</f>
        <v>10</v>
      </c>
      <c r="H45" s="48">
        <f ca="1">IFERROR(__xludf.DUMMYFUNCTION("""COMPUTED_VALUE"""),20)</f>
        <v>20</v>
      </c>
      <c r="I45" s="48">
        <f ca="1">IFERROR(__xludf.DUMMYFUNCTION("""COMPUTED_VALUE"""),5)</f>
        <v>5</v>
      </c>
      <c r="J45" s="48">
        <f ca="1">IFERROR(__xludf.DUMMYFUNCTION("""COMPUTED_VALUE"""),0)</f>
        <v>0</v>
      </c>
      <c r="K45" s="48">
        <f ca="1">IFERROR(__xludf.DUMMYFUNCTION("""COMPUTED_VALUE"""),0)</f>
        <v>0</v>
      </c>
      <c r="L45" s="48">
        <f ca="1">IFERROR(__xludf.DUMMYFUNCTION("""COMPUTED_VALUE"""),9)</f>
        <v>9</v>
      </c>
      <c r="M45" s="48">
        <f ca="1">IFERROR(__xludf.DUMMYFUNCTION("""COMPUTED_VALUE"""),4)</f>
        <v>4</v>
      </c>
      <c r="N45" s="48">
        <f ca="1">IFERROR(__xludf.DUMMYFUNCTION("""COMPUTED_VALUE"""),4)</f>
        <v>4</v>
      </c>
      <c r="O45" s="48">
        <f ca="1">IFERROR(__xludf.DUMMYFUNCTION("""COMPUTED_VALUE"""),20)</f>
        <v>20</v>
      </c>
      <c r="P45" s="48">
        <f ca="1">IFERROR(__xludf.DUMMYFUNCTION("""COMPUTED_VALUE"""),63)</f>
        <v>63</v>
      </c>
      <c r="Q45" s="48">
        <f ca="1">IFERROR(__xludf.DUMMYFUNCTION("""COMPUTED_VALUE"""),47)</f>
        <v>47</v>
      </c>
      <c r="R45" s="48">
        <f ca="1">IFERROR(__xludf.DUMMYFUNCTION("""COMPUTED_VALUE"""),15)</f>
        <v>15</v>
      </c>
      <c r="S45" s="48">
        <f ca="1">IFERROR(__xludf.DUMMYFUNCTION("""COMPUTED_VALUE"""),197)</f>
        <v>197</v>
      </c>
    </row>
    <row r="46" spans="1:19">
      <c r="A46" s="46" t="str">
        <f ca="1">IFERROR(__xludf.DUMMYFUNCTION("""COMPUTED_VALUE"""),"INSTALACIÓN DE LÁMPARAS NUEVAS CABECERA MUNICIPAL")</f>
        <v>INSTALACIÓN DE LÁMPARAS NUEVAS CABECERA MUNICIPAL</v>
      </c>
      <c r="B46" s="46">
        <f ca="1">IFERROR(__xludf.DUMMYFUNCTION("""COMPUTED_VALUE"""),60)</f>
        <v>60</v>
      </c>
      <c r="C46" s="46" t="str">
        <f ca="1">IFERROR(__xludf.DUMMYFUNCTION("""COMPUTED_VALUE"""),"INSTALACION LAMPARAS NUEVAS EN CABECERA")</f>
        <v>INSTALACION LAMPARAS NUEVAS EN CABECERA</v>
      </c>
      <c r="D46" s="46" t="str">
        <f ca="1">IFERROR(__xludf.DUMMYFUNCTION("""COMPUTED_VALUE"""),"ASCENDENTE")</f>
        <v>ASCENDENTE</v>
      </c>
      <c r="E46" s="46" t="str">
        <f ca="1">IFERROR(__xludf.DUMMYFUNCTION("""COMPUTED_VALUE"""),"BITACORA OPERATIVA")</f>
        <v>BITACORA OPERATIVA</v>
      </c>
      <c r="F46" s="47">
        <f ca="1">IFERROR(__xludf.DUMMYFUNCTION("""COMPUTED_VALUE"""),98.3333333333333)</f>
        <v>98.3333333333333</v>
      </c>
      <c r="G46" s="48">
        <f ca="1">IFERROR(__xludf.DUMMYFUNCTION("""COMPUTED_VALUE"""),5)</f>
        <v>5</v>
      </c>
      <c r="H46" s="48">
        <f ca="1">IFERROR(__xludf.DUMMYFUNCTION("""COMPUTED_VALUE"""),5)</f>
        <v>5</v>
      </c>
      <c r="I46" s="48">
        <f ca="1">IFERROR(__xludf.DUMMYFUNCTION("""COMPUTED_VALUE"""),0)</f>
        <v>0</v>
      </c>
      <c r="J46" s="48">
        <f ca="1">IFERROR(__xludf.DUMMYFUNCTION("""COMPUTED_VALUE"""),0)</f>
        <v>0</v>
      </c>
      <c r="K46" s="48">
        <f ca="1">IFERROR(__xludf.DUMMYFUNCTION("""COMPUTED_VALUE"""),5)</f>
        <v>5</v>
      </c>
      <c r="L46" s="48">
        <f ca="1">IFERROR(__xludf.DUMMYFUNCTION("""COMPUTED_VALUE"""),0)</f>
        <v>0</v>
      </c>
      <c r="M46" s="48">
        <f ca="1">IFERROR(__xludf.DUMMYFUNCTION("""COMPUTED_VALUE"""),5)</f>
        <v>5</v>
      </c>
      <c r="N46" s="48">
        <f ca="1">IFERROR(__xludf.DUMMYFUNCTION("""COMPUTED_VALUE"""),8)</f>
        <v>8</v>
      </c>
      <c r="O46" s="48">
        <f ca="1">IFERROR(__xludf.DUMMYFUNCTION("""COMPUTED_VALUE"""),1)</f>
        <v>1</v>
      </c>
      <c r="P46" s="48">
        <f ca="1">IFERROR(__xludf.DUMMYFUNCTION("""COMPUTED_VALUE"""),18)</f>
        <v>18</v>
      </c>
      <c r="Q46" s="48">
        <f ca="1">IFERROR(__xludf.DUMMYFUNCTION("""COMPUTED_VALUE"""),3)</f>
        <v>3</v>
      </c>
      <c r="R46" s="48">
        <f ca="1">IFERROR(__xludf.DUMMYFUNCTION("""COMPUTED_VALUE"""),9)</f>
        <v>9</v>
      </c>
      <c r="S46" s="48">
        <f ca="1">IFERROR(__xludf.DUMMYFUNCTION("""COMPUTED_VALUE"""),59)</f>
        <v>59</v>
      </c>
    </row>
    <row r="47" spans="1:19">
      <c r="A47" s="46" t="str">
        <f ca="1">IFERROR(__xludf.DUMMYFUNCTION("""COMPUTED_VALUE"""),"NÚMERO DE SOLICITUDES PARA LÁMPARAS NUEVAS")</f>
        <v>NÚMERO DE SOLICITUDES PARA LÁMPARAS NUEVAS</v>
      </c>
      <c r="B47" s="46">
        <f ca="1">IFERROR(__xludf.DUMMYFUNCTION("""COMPUTED_VALUE"""),60)</f>
        <v>60</v>
      </c>
      <c r="C47" s="46" t="str">
        <f ca="1">IFERROR(__xludf.DUMMYFUNCTION("""COMPUTED_VALUE"""),"SOLICITUDES DE LAMPARAS NUEVAS")</f>
        <v>SOLICITUDES DE LAMPARAS NUEVAS</v>
      </c>
      <c r="D47" s="46" t="str">
        <f ca="1">IFERROR(__xludf.DUMMYFUNCTION("""COMPUTED_VALUE"""),"ASCENDENTE")</f>
        <v>ASCENDENTE</v>
      </c>
      <c r="E47" s="46" t="str">
        <f ca="1">IFERROR(__xludf.DUMMYFUNCTION("""COMPUTED_VALUE"""),"BITACORA OPERATIVA")</f>
        <v>BITACORA OPERATIVA</v>
      </c>
      <c r="F47" s="47">
        <f ca="1">IFERROR(__xludf.DUMMYFUNCTION("""COMPUTED_VALUE"""),138.333333333333)</f>
        <v>138.333333333333</v>
      </c>
      <c r="G47" s="48">
        <f ca="1">IFERROR(__xludf.DUMMYFUNCTION("""COMPUTED_VALUE"""),10)</f>
        <v>10</v>
      </c>
      <c r="H47" s="48">
        <f ca="1">IFERROR(__xludf.DUMMYFUNCTION("""COMPUTED_VALUE"""),8)</f>
        <v>8</v>
      </c>
      <c r="I47" s="48">
        <f ca="1">IFERROR(__xludf.DUMMYFUNCTION("""COMPUTED_VALUE"""),5)</f>
        <v>5</v>
      </c>
      <c r="J47" s="48">
        <f ca="1">IFERROR(__xludf.DUMMYFUNCTION("""COMPUTED_VALUE"""),0)</f>
        <v>0</v>
      </c>
      <c r="K47" s="48">
        <f ca="1">IFERROR(__xludf.DUMMYFUNCTION("""COMPUTED_VALUE"""),6)</f>
        <v>6</v>
      </c>
      <c r="L47" s="48">
        <f ca="1">IFERROR(__xludf.DUMMYFUNCTION("""COMPUTED_VALUE"""),5)</f>
        <v>5</v>
      </c>
      <c r="M47" s="48">
        <f ca="1">IFERROR(__xludf.DUMMYFUNCTION("""COMPUTED_VALUE"""),5)</f>
        <v>5</v>
      </c>
      <c r="N47" s="48">
        <f ca="1">IFERROR(__xludf.DUMMYFUNCTION("""COMPUTED_VALUE"""),18)</f>
        <v>18</v>
      </c>
      <c r="O47" s="48">
        <f ca="1">IFERROR(__xludf.DUMMYFUNCTION("""COMPUTED_VALUE"""),7)</f>
        <v>7</v>
      </c>
      <c r="P47" s="48">
        <f ca="1">IFERROR(__xludf.DUMMYFUNCTION("""COMPUTED_VALUE"""),15)</f>
        <v>15</v>
      </c>
      <c r="Q47" s="48">
        <f ca="1">IFERROR(__xludf.DUMMYFUNCTION("""COMPUTED_VALUE"""),4)</f>
        <v>4</v>
      </c>
      <c r="R47" s="48">
        <f ca="1">IFERROR(__xludf.DUMMYFUNCTION("""COMPUTED_VALUE"""),0)</f>
        <v>0</v>
      </c>
      <c r="S47" s="48">
        <f ca="1">IFERROR(__xludf.DUMMYFUNCTION("""COMPUTED_VALUE"""),83)</f>
        <v>83</v>
      </c>
    </row>
    <row r="48" spans="1:19">
      <c r="A48" s="46" t="str">
        <f ca="1">IFERROR(__xludf.DUMMYFUNCTION("""COMPUTED_VALUE"""),"censo actual de LUMINARIAS")</f>
        <v>censo actual de LUMINARIAS</v>
      </c>
      <c r="B48" s="46">
        <f ca="1">IFERROR(__xludf.DUMMYFUNCTION("""COMPUTED_VALUE"""),17000)</f>
        <v>17000</v>
      </c>
      <c r="C48" s="46" t="str">
        <f ca="1">IFERROR(__xludf.DUMMYFUNCTION("""COMPUTED_VALUE"""),"LAMPARAS INVENTARIADAS")</f>
        <v>LAMPARAS INVENTARIADAS</v>
      </c>
      <c r="D48" s="46" t="str">
        <f ca="1">IFERROR(__xludf.DUMMYFUNCTION("""COMPUTED_VALUE"""),"ASCENDENTE")</f>
        <v>ASCENDENTE</v>
      </c>
      <c r="E48" s="46" t="str">
        <f ca="1">IFERROR(__xludf.DUMMYFUNCTION("""COMPUTED_VALUE"""),"BITACORA OPERATIVA")</f>
        <v>BITACORA OPERATIVA</v>
      </c>
      <c r="F48" s="47">
        <f ca="1">IFERROR(__xludf.DUMMYFUNCTION("""COMPUTED_VALUE"""),20.2078431372549)</f>
        <v>20.207843137254901</v>
      </c>
      <c r="G48" s="48">
        <f ca="1">IFERROR(__xludf.DUMMYFUNCTION("""COMPUTED_VALUE"""),8000)</f>
        <v>8000</v>
      </c>
      <c r="H48" s="48">
        <f ca="1">IFERROR(__xludf.DUMMYFUNCTION("""COMPUTED_VALUE"""),8000)</f>
        <v>8000</v>
      </c>
      <c r="I48" s="48">
        <f ca="1">IFERROR(__xludf.DUMMYFUNCTION("""COMPUTED_VALUE"""),8000)</f>
        <v>8000</v>
      </c>
      <c r="J48" s="48">
        <f ca="1">IFERROR(__xludf.DUMMYFUNCTION("""COMPUTED_VALUE"""),0)</f>
        <v>0</v>
      </c>
      <c r="K48" s="48">
        <f ca="1">IFERROR(__xludf.DUMMYFUNCTION("""COMPUTED_VALUE"""),0)</f>
        <v>0</v>
      </c>
      <c r="L48" s="48">
        <f ca="1">IFERROR(__xludf.DUMMYFUNCTION("""COMPUTED_VALUE"""),0)</f>
        <v>0</v>
      </c>
      <c r="M48" s="48">
        <f ca="1">IFERROR(__xludf.DUMMYFUNCTION("""COMPUTED_VALUE"""),0)</f>
        <v>0</v>
      </c>
      <c r="N48" s="48">
        <f ca="1">IFERROR(__xludf.DUMMYFUNCTION("""COMPUTED_VALUE"""),17224)</f>
        <v>17224</v>
      </c>
      <c r="O48" s="48">
        <f ca="1">IFERROR(__xludf.DUMMYFUNCTION("""COMPUTED_VALUE"""),0)</f>
        <v>0</v>
      </c>
      <c r="P48" s="48">
        <f ca="1">IFERROR(__xludf.DUMMYFUNCTION("""COMPUTED_VALUE"""),0)</f>
        <v>0</v>
      </c>
      <c r="Q48" s="48">
        <f ca="1">IFERROR(__xludf.DUMMYFUNCTION("""COMPUTED_VALUE"""),0)</f>
        <v>0</v>
      </c>
      <c r="R48" s="48">
        <f ca="1">IFERROR(__xludf.DUMMYFUNCTION("""COMPUTED_VALUE"""),0)</f>
        <v>0</v>
      </c>
      <c r="S48" s="48">
        <f ca="1">IFERROR(__xludf.DUMMYFUNCTION("""COMPUTED_VALUE"""),3435.33333333333)</f>
        <v>3435.3333333333298</v>
      </c>
    </row>
    <row r="49" spans="1:19">
      <c r="A49" s="46" t="str">
        <f ca="1">IFERROR(__xludf.DUMMYFUNCTION("""COMPUTED_VALUE"""),"ACTIVIDADES EXTRAS (MANTENIMIENTO ELÉCTRICO DE EDIFICIOS PÚBLICOS, APOYO A EVENTOS)")</f>
        <v>ACTIVIDADES EXTRAS (MANTENIMIENTO ELÉCTRICO DE EDIFICIOS PÚBLICOS, APOYO A EVENTOS)</v>
      </c>
      <c r="B49" s="46">
        <f ca="1">IFERROR(__xludf.DUMMYFUNCTION("""COMPUTED_VALUE"""),480)</f>
        <v>480</v>
      </c>
      <c r="C49" s="46" t="str">
        <f ca="1">IFERROR(__xludf.DUMMYFUNCTION("""COMPUTED_VALUE"""),"MANTENIMIENTOS EXTRAS")</f>
        <v>MANTENIMIENTOS EXTRAS</v>
      </c>
      <c r="D49" s="46" t="str">
        <f ca="1">IFERROR(__xludf.DUMMYFUNCTION("""COMPUTED_VALUE"""),"ASCENDENTE")</f>
        <v>ASCENDENTE</v>
      </c>
      <c r="E49" s="46" t="str">
        <f ca="1">IFERROR(__xludf.DUMMYFUNCTION("""COMPUTED_VALUE"""),"BITACORA OPERATIVA")</f>
        <v>BITACORA OPERATIVA</v>
      </c>
      <c r="F49" s="47">
        <f ca="1">IFERROR(__xludf.DUMMYFUNCTION("""COMPUTED_VALUE"""),100.625)</f>
        <v>100.625</v>
      </c>
      <c r="G49" s="48">
        <f ca="1">IFERROR(__xludf.DUMMYFUNCTION("""COMPUTED_VALUE"""),0)</f>
        <v>0</v>
      </c>
      <c r="H49" s="48">
        <f ca="1">IFERROR(__xludf.DUMMYFUNCTION("""COMPUTED_VALUE"""),0)</f>
        <v>0</v>
      </c>
      <c r="I49" s="48">
        <f ca="1">IFERROR(__xludf.DUMMYFUNCTION("""COMPUTED_VALUE"""),0)</f>
        <v>0</v>
      </c>
      <c r="J49" s="48">
        <f ca="1">IFERROR(__xludf.DUMMYFUNCTION("""COMPUTED_VALUE"""),0)</f>
        <v>0</v>
      </c>
      <c r="K49" s="48">
        <f ca="1">IFERROR(__xludf.DUMMYFUNCTION("""COMPUTED_VALUE"""),15)</f>
        <v>15</v>
      </c>
      <c r="L49" s="48">
        <f ca="1">IFERROR(__xludf.DUMMYFUNCTION("""COMPUTED_VALUE"""),7)</f>
        <v>7</v>
      </c>
      <c r="M49" s="48">
        <f ca="1">IFERROR(__xludf.DUMMYFUNCTION("""COMPUTED_VALUE"""),56)</f>
        <v>56</v>
      </c>
      <c r="N49" s="48">
        <f ca="1">IFERROR(__xludf.DUMMYFUNCTION("""COMPUTED_VALUE"""),186)</f>
        <v>186</v>
      </c>
      <c r="O49" s="48">
        <f ca="1">IFERROR(__xludf.DUMMYFUNCTION("""COMPUTED_VALUE"""),78)</f>
        <v>78</v>
      </c>
      <c r="P49" s="48">
        <f ca="1">IFERROR(__xludf.DUMMYFUNCTION("""COMPUTED_VALUE"""),42)</f>
        <v>42</v>
      </c>
      <c r="Q49" s="48">
        <f ca="1">IFERROR(__xludf.DUMMYFUNCTION("""COMPUTED_VALUE"""),41)</f>
        <v>41</v>
      </c>
      <c r="R49" s="48">
        <f ca="1">IFERROR(__xludf.DUMMYFUNCTION("""COMPUTED_VALUE"""),58)</f>
        <v>58</v>
      </c>
      <c r="S49" s="48">
        <f ca="1">IFERROR(__xludf.DUMMYFUNCTION("""COMPUTED_VALUE"""),483)</f>
        <v>483</v>
      </c>
    </row>
    <row r="50" spans="1:19">
      <c r="A50" s="46" t="str">
        <f ca="1">IFERROR(__xludf.DUMMYFUNCTION("""COMPUTED_VALUE"""),"PADRON DE LUMINARIA NO FUNCIONAL(REPORTE CIUDADANO)")</f>
        <v>PADRON DE LUMINARIA NO FUNCIONAL(REPORTE CIUDADANO)</v>
      </c>
      <c r="B50" s="46">
        <f ca="1">IFERROR(__xludf.DUMMYFUNCTION("""COMPUTED_VALUE"""),100)</f>
        <v>100</v>
      </c>
      <c r="C50" s="46" t="str">
        <f ca="1">IFERROR(__xludf.DUMMYFUNCTION("""COMPUTED_VALUE"""),"LUMINARIA QUE NO FUNCIONA")</f>
        <v>LUMINARIA QUE NO FUNCIONA</v>
      </c>
      <c r="D50" s="46" t="str">
        <f ca="1">IFERROR(__xludf.DUMMYFUNCTION("""COMPUTED_VALUE"""),"ASCENDENTE")</f>
        <v>ASCENDENTE</v>
      </c>
      <c r="E50" s="46" t="str">
        <f ca="1">IFERROR(__xludf.DUMMYFUNCTION("""COMPUTED_VALUE"""),"BITACORA OPERATIVA")</f>
        <v>BITACORA OPERATIVA</v>
      </c>
      <c r="F50" s="47">
        <f ca="1">IFERROR(__xludf.DUMMYFUNCTION("""COMPUTED_VALUE"""),117.333333333333)</f>
        <v>117.333333333333</v>
      </c>
      <c r="G50" s="48">
        <f ca="1">IFERROR(__xludf.DUMMYFUNCTION("""COMPUTED_VALUE"""),50)</f>
        <v>50</v>
      </c>
      <c r="H50" s="48">
        <f ca="1">IFERROR(__xludf.DUMMYFUNCTION("""COMPUTED_VALUE"""),60)</f>
        <v>60</v>
      </c>
      <c r="I50" s="48">
        <f ca="1">IFERROR(__xludf.DUMMYFUNCTION("""COMPUTED_VALUE"""),35)</f>
        <v>35</v>
      </c>
      <c r="J50" s="48">
        <f ca="1">IFERROR(__xludf.DUMMYFUNCTION("""COMPUTED_VALUE"""),0)</f>
        <v>0</v>
      </c>
      <c r="K50" s="48">
        <f ca="1">IFERROR(__xludf.DUMMYFUNCTION("""COMPUTED_VALUE"""),0)</f>
        <v>0</v>
      </c>
      <c r="L50" s="48">
        <f ca="1">IFERROR(__xludf.DUMMYFUNCTION("""COMPUTED_VALUE"""),0)</f>
        <v>0</v>
      </c>
      <c r="M50" s="48">
        <f ca="1">IFERROR(__xludf.DUMMYFUNCTION("""COMPUTED_VALUE"""),189)</f>
        <v>189</v>
      </c>
      <c r="N50" s="48">
        <f ca="1">IFERROR(__xludf.DUMMYFUNCTION("""COMPUTED_VALUE"""),506)</f>
        <v>506</v>
      </c>
      <c r="O50" s="48">
        <f ca="1">IFERROR(__xludf.DUMMYFUNCTION("""COMPUTED_VALUE"""),130)</f>
        <v>130</v>
      </c>
      <c r="P50" s="48">
        <f ca="1">IFERROR(__xludf.DUMMYFUNCTION("""COMPUTED_VALUE"""),211)</f>
        <v>211</v>
      </c>
      <c r="Q50" s="48">
        <f ca="1">IFERROR(__xludf.DUMMYFUNCTION("""COMPUTED_VALUE"""),165)</f>
        <v>165</v>
      </c>
      <c r="R50" s="48">
        <f ca="1">IFERROR(__xludf.DUMMYFUNCTION("""COMPUTED_VALUE"""),62)</f>
        <v>62</v>
      </c>
      <c r="S50" s="48">
        <f ca="1">IFERROR(__xludf.DUMMYFUNCTION("""COMPUTED_VALUE"""),117.333333333333)</f>
        <v>117.333333333333</v>
      </c>
    </row>
    <row r="51" spans="1:19">
      <c r="A51" s="46" t="str">
        <f ca="1">IFERROR(__xludf.DUMMYFUNCTION("""COMPUTED_VALUE"""),"VIGILANCIA EN VERTEDERO MUNICIPAL (TONELADAS VERTIDAS POR MES)")</f>
        <v>VIGILANCIA EN VERTEDERO MUNICIPAL (TONELADAS VERTIDAS POR MES)</v>
      </c>
      <c r="B51" s="46">
        <f ca="1">IFERROR(__xludf.DUMMYFUNCTION("""COMPUTED_VALUE"""),1600)</f>
        <v>1600</v>
      </c>
      <c r="C51" s="46" t="str">
        <f ca="1">IFERROR(__xludf.DUMMYFUNCTION("""COMPUTED_VALUE"""),"VIGILANCIA EN EL VERTEDERO")</f>
        <v>VIGILANCIA EN EL VERTEDERO</v>
      </c>
      <c r="D51" s="46" t="str">
        <f ca="1">IFERROR(__xludf.DUMMYFUNCTION("""COMPUTED_VALUE"""),"ASCENDENTE")</f>
        <v>ASCENDENTE</v>
      </c>
      <c r="E51" s="46" t="str">
        <f ca="1">IFERROR(__xludf.DUMMYFUNCTION("""COMPUTED_VALUE"""),"BITACORA OPERATIVA")</f>
        <v>BITACORA OPERATIVA</v>
      </c>
      <c r="F51" s="47">
        <f ca="1">IFERROR(__xludf.DUMMYFUNCTION("""COMPUTED_VALUE"""),35.75)</f>
        <v>35.75</v>
      </c>
      <c r="G51" s="48">
        <f ca="1">IFERROR(__xludf.DUMMYFUNCTION("""COMPUTED_VALUE"""),0)</f>
        <v>0</v>
      </c>
      <c r="H51" s="48">
        <f ca="1">IFERROR(__xludf.DUMMYFUNCTION("""COMPUTED_VALUE"""),0)</f>
        <v>0</v>
      </c>
      <c r="I51" s="48">
        <f ca="1">IFERROR(__xludf.DUMMYFUNCTION("""COMPUTED_VALUE"""),0)</f>
        <v>0</v>
      </c>
      <c r="J51" s="48">
        <f ca="1">IFERROR(__xludf.DUMMYFUNCTION("""COMPUTED_VALUE"""),0)</f>
        <v>0</v>
      </c>
      <c r="K51" s="48">
        <f ca="1">IFERROR(__xludf.DUMMYFUNCTION("""COMPUTED_VALUE"""),0)</f>
        <v>0</v>
      </c>
      <c r="L51" s="48">
        <f ca="1">IFERROR(__xludf.DUMMYFUNCTION("""COMPUTED_VALUE"""),0)</f>
        <v>0</v>
      </c>
      <c r="M51" s="48">
        <f ca="1">IFERROR(__xludf.DUMMYFUNCTION("""COMPUTED_VALUE"""),189)</f>
        <v>189</v>
      </c>
      <c r="N51" s="48">
        <f ca="1">IFERROR(__xludf.DUMMYFUNCTION("""COMPUTED_VALUE"""),253)</f>
        <v>253</v>
      </c>
      <c r="O51" s="48">
        <f ca="1">IFERROR(__xludf.DUMMYFUNCTION("""COMPUTED_VALUE"""),130)</f>
        <v>130</v>
      </c>
      <c r="P51" s="48">
        <f ca="1">IFERROR(__xludf.DUMMYFUNCTION("""COMPUTED_VALUE"""),0)</f>
        <v>0</v>
      </c>
      <c r="Q51" s="48">
        <f ca="1">IFERROR(__xludf.DUMMYFUNCTION("""COMPUTED_VALUE"""),0)</f>
        <v>0</v>
      </c>
      <c r="R51" s="48">
        <f ca="1">IFERROR(__xludf.DUMMYFUNCTION("""COMPUTED_VALUE"""),0)</f>
        <v>0</v>
      </c>
      <c r="S51" s="48">
        <f ca="1">IFERROR(__xludf.DUMMYFUNCTION("""COMPUTED_VALUE"""),572)</f>
        <v>572</v>
      </c>
    </row>
    <row r="52" spans="1:19">
      <c r="A52" s="46" t="str">
        <f ca="1">IFERROR(__xludf.DUMMYFUNCTION("""COMPUTED_VALUE"""),"NÚMERO DE CALLES ASEADAS")</f>
        <v>NÚMERO DE CALLES ASEADAS</v>
      </c>
      <c r="B52" s="46">
        <f ca="1">IFERROR(__xludf.DUMMYFUNCTION("""COMPUTED_VALUE"""),1704000)</f>
        <v>1704000</v>
      </c>
      <c r="C52" s="46" t="str">
        <f ca="1">IFERROR(__xludf.DUMMYFUNCTION("""COMPUTED_VALUE"""),"CALLES ASCEADAS")</f>
        <v>CALLES ASCEADAS</v>
      </c>
      <c r="D52" s="46" t="str">
        <f ca="1">IFERROR(__xludf.DUMMYFUNCTION("""COMPUTED_VALUE"""),"ASCENDENTE")</f>
        <v>ASCENDENTE</v>
      </c>
      <c r="E52" s="46" t="str">
        <f ca="1">IFERROR(__xludf.DUMMYFUNCTION("""COMPUTED_VALUE"""),"BITACORA OPERATIVA")</f>
        <v>BITACORA OPERATIVA</v>
      </c>
      <c r="F52" s="47">
        <f ca="1">IFERROR(__xludf.DUMMYFUNCTION("""COMPUTED_VALUE"""),25.925176056338)</f>
        <v>25.925176056338</v>
      </c>
      <c r="G52" s="48">
        <f ca="1">IFERROR(__xludf.DUMMYFUNCTION("""COMPUTED_VALUE"""),0)</f>
        <v>0</v>
      </c>
      <c r="H52" s="48">
        <f ca="1">IFERROR(__xludf.DUMMYFUNCTION("""COMPUTED_VALUE"""),0)</f>
        <v>0</v>
      </c>
      <c r="I52" s="48">
        <f ca="1">IFERROR(__xludf.DUMMYFUNCTION("""COMPUTED_VALUE"""),0)</f>
        <v>0</v>
      </c>
      <c r="J52" s="48">
        <f ca="1">IFERROR(__xludf.DUMMYFUNCTION("""COMPUTED_VALUE"""),147284)</f>
        <v>147284</v>
      </c>
      <c r="K52" s="48">
        <f ca="1">IFERROR(__xludf.DUMMYFUNCTION("""COMPUTED_VALUE"""),146275)</f>
        <v>146275</v>
      </c>
      <c r="L52" s="48">
        <f ca="1">IFERROR(__xludf.DUMMYFUNCTION("""COMPUTED_VALUE"""),148206)</f>
        <v>148206</v>
      </c>
      <c r="M52" s="48">
        <f ca="1">IFERROR(__xludf.DUMMYFUNCTION("""COMPUTED_VALUE"""),0)</f>
        <v>0</v>
      </c>
      <c r="N52" s="48">
        <f ca="1">IFERROR(__xludf.DUMMYFUNCTION("""COMPUTED_VALUE"""),0)</f>
        <v>0</v>
      </c>
      <c r="O52" s="48">
        <f ca="1">IFERROR(__xludf.DUMMYFUNCTION("""COMPUTED_VALUE"""),0)</f>
        <v>0</v>
      </c>
      <c r="P52" s="48">
        <f ca="1">IFERROR(__xludf.DUMMYFUNCTION("""COMPUTED_VALUE"""),0)</f>
        <v>0</v>
      </c>
      <c r="Q52" s="48">
        <f ca="1">IFERROR(__xludf.DUMMYFUNCTION("""COMPUTED_VALUE"""),0)</f>
        <v>0</v>
      </c>
      <c r="R52" s="48">
        <f ca="1">IFERROR(__xludf.DUMMYFUNCTION("""COMPUTED_VALUE"""),0)</f>
        <v>0</v>
      </c>
      <c r="S52" s="48">
        <f ca="1">IFERROR(__xludf.DUMMYFUNCTION("""COMPUTED_VALUE"""),441765)</f>
        <v>441765</v>
      </c>
    </row>
    <row r="53" spans="1:19">
      <c r="A53" s="46" t="str">
        <f ca="1">IFERROR(__xludf.DUMMYFUNCTION("""COMPUTED_VALUE"""),"TONELADAS RECOLECTADAS")</f>
        <v>TONELADAS RECOLECTADAS</v>
      </c>
      <c r="B53" s="46">
        <f ca="1">IFERROR(__xludf.DUMMYFUNCTION("""COMPUTED_VALUE"""),300)</f>
        <v>300</v>
      </c>
      <c r="C53" s="46" t="str">
        <f ca="1">IFERROR(__xludf.DUMMYFUNCTION("""COMPUTED_VALUE"""),"TONELADAS RECOLECTADAS")</f>
        <v>TONELADAS RECOLECTADAS</v>
      </c>
      <c r="D53" s="46" t="str">
        <f ca="1">IFERROR(__xludf.DUMMYFUNCTION("""COMPUTED_VALUE"""),"ASCENDENTE")</f>
        <v>ASCENDENTE</v>
      </c>
      <c r="E53" s="46" t="str">
        <f ca="1">IFERROR(__xludf.DUMMYFUNCTION("""COMPUTED_VALUE"""),"BITACORA OPERATIVA")</f>
        <v>BITACORA OPERATIVA</v>
      </c>
      <c r="F53" s="47">
        <f ca="1">IFERROR(__xludf.DUMMYFUNCTION("""COMPUTED_VALUE"""),95)</f>
        <v>95</v>
      </c>
      <c r="G53" s="48">
        <f ca="1">IFERROR(__xludf.DUMMYFUNCTION("""COMPUTED_VALUE"""),12)</f>
        <v>12</v>
      </c>
      <c r="H53" s="48">
        <f ca="1">IFERROR(__xludf.DUMMYFUNCTION("""COMPUTED_VALUE"""),15)</f>
        <v>15</v>
      </c>
      <c r="I53" s="48">
        <f ca="1">IFERROR(__xludf.DUMMYFUNCTION("""COMPUTED_VALUE"""),15)</f>
        <v>15</v>
      </c>
      <c r="J53" s="48">
        <f ca="1">IFERROR(__xludf.DUMMYFUNCTION("""COMPUTED_VALUE"""),21)</f>
        <v>21</v>
      </c>
      <c r="K53" s="48">
        <f ca="1">IFERROR(__xludf.DUMMYFUNCTION("""COMPUTED_VALUE"""),21)</f>
        <v>21</v>
      </c>
      <c r="L53" s="48">
        <f ca="1">IFERROR(__xludf.DUMMYFUNCTION("""COMPUTED_VALUE"""),21)</f>
        <v>21</v>
      </c>
      <c r="M53" s="48">
        <f ca="1">IFERROR(__xludf.DUMMYFUNCTION("""COMPUTED_VALUE"""),30)</f>
        <v>30</v>
      </c>
      <c r="N53" s="48">
        <f ca="1">IFERROR(__xludf.DUMMYFUNCTION("""COMPUTED_VALUE"""),30)</f>
        <v>30</v>
      </c>
      <c r="O53" s="48">
        <f ca="1">IFERROR(__xludf.DUMMYFUNCTION("""COMPUTED_VALUE"""),30)</f>
        <v>30</v>
      </c>
      <c r="P53" s="48">
        <f ca="1">IFERROR(__xludf.DUMMYFUNCTION("""COMPUTED_VALUE"""),30)</f>
        <v>30</v>
      </c>
      <c r="Q53" s="48">
        <f ca="1">IFERROR(__xludf.DUMMYFUNCTION("""COMPUTED_VALUE"""),30)</f>
        <v>30</v>
      </c>
      <c r="R53" s="48">
        <f ca="1">IFERROR(__xludf.DUMMYFUNCTION("""COMPUTED_VALUE"""),30)</f>
        <v>30</v>
      </c>
      <c r="S53" s="48">
        <f ca="1">IFERROR(__xludf.DUMMYFUNCTION("""COMPUTED_VALUE"""),285)</f>
        <v>285</v>
      </c>
    </row>
    <row r="54" spans="1:19">
      <c r="A54" s="46" t="str">
        <f ca="1">IFERROR(__xludf.DUMMYFUNCTION("""COMPUTED_VALUE"""),"REPARACIÓN DE SUSPENSIONES")</f>
        <v>REPARACIÓN DE SUSPENSIONES</v>
      </c>
      <c r="B54" s="46">
        <f ca="1">IFERROR(__xludf.DUMMYFUNCTION("""COMPUTED_VALUE"""),84000)</f>
        <v>84000</v>
      </c>
      <c r="C54" s="46" t="str">
        <f ca="1">IFERROR(__xludf.DUMMYFUNCTION("""COMPUTED_VALUE"""),"REPARACIONES")</f>
        <v>REPARACIONES</v>
      </c>
      <c r="D54" s="46" t="str">
        <f ca="1">IFERROR(__xludf.DUMMYFUNCTION("""COMPUTED_VALUE"""),"ASCENDENTE")</f>
        <v>ASCENDENTE</v>
      </c>
      <c r="E54" s="46" t="str">
        <f ca="1">IFERROR(__xludf.DUMMYFUNCTION("""COMPUTED_VALUE"""),"BITACORA OPERATIVA")</f>
        <v>BITACORA OPERATIVA</v>
      </c>
      <c r="F54" s="47">
        <f ca="1">IFERROR(__xludf.DUMMYFUNCTION("""COMPUTED_VALUE"""),1243.82142857142)</f>
        <v>1243.82142857142</v>
      </c>
      <c r="G54" s="48">
        <f ca="1">IFERROR(__xludf.DUMMYFUNCTION("""COMPUTED_VALUE"""),124)</f>
        <v>124</v>
      </c>
      <c r="H54" s="48">
        <f ca="1">IFERROR(__xludf.DUMMYFUNCTION("""COMPUTED_VALUE"""),124)</f>
        <v>124</v>
      </c>
      <c r="I54" s="48">
        <f ca="1">IFERROR(__xludf.DUMMYFUNCTION("""COMPUTED_VALUE"""),124)</f>
        <v>124</v>
      </c>
      <c r="J54" s="48">
        <f ca="1">IFERROR(__xludf.DUMMYFUNCTION("""COMPUTED_VALUE"""),147284)</f>
        <v>147284</v>
      </c>
      <c r="K54" s="48">
        <f ca="1">IFERROR(__xludf.DUMMYFUNCTION("""COMPUTED_VALUE"""),146275)</f>
        <v>146275</v>
      </c>
      <c r="L54" s="48">
        <f ca="1">IFERROR(__xludf.DUMMYFUNCTION("""COMPUTED_VALUE"""),148206)</f>
        <v>148206</v>
      </c>
      <c r="M54" s="48">
        <f ca="1">IFERROR(__xludf.DUMMYFUNCTION("""COMPUTED_VALUE"""),158)</f>
        <v>158</v>
      </c>
      <c r="N54" s="48">
        <f ca="1">IFERROR(__xludf.DUMMYFUNCTION("""COMPUTED_VALUE"""),161)</f>
        <v>161</v>
      </c>
      <c r="O54" s="48">
        <f ca="1">IFERROR(__xludf.DUMMYFUNCTION("""COMPUTED_VALUE"""),164)</f>
        <v>164</v>
      </c>
      <c r="P54" s="48">
        <f ca="1">IFERROR(__xludf.DUMMYFUNCTION("""COMPUTED_VALUE"""),169398)</f>
        <v>169398</v>
      </c>
      <c r="Q54" s="48">
        <f ca="1">IFERROR(__xludf.DUMMYFUNCTION("""COMPUTED_VALUE"""),165397)</f>
        <v>165397</v>
      </c>
      <c r="R54" s="48">
        <f ca="1">IFERROR(__xludf.DUMMYFUNCTION("""COMPUTED_VALUE"""),267395)</f>
        <v>267395</v>
      </c>
      <c r="S54" s="48">
        <f ca="1">IFERROR(__xludf.DUMMYFUNCTION("""COMPUTED_VALUE"""),1044810)</f>
        <v>1044810</v>
      </c>
    </row>
    <row r="55" spans="1:19">
      <c r="A55" s="46" t="str">
        <f ca="1">IFERROR(__xludf.DUMMYFUNCTION("""COMPUTED_VALUE"""),"REPARACIONES VARIAS")</f>
        <v>REPARACIONES VARIAS</v>
      </c>
      <c r="B55" s="46">
        <f ca="1">IFERROR(__xludf.DUMMYFUNCTION("""COMPUTED_VALUE"""),144)</f>
        <v>144</v>
      </c>
      <c r="C55" s="46" t="str">
        <f ca="1">IFERROR(__xludf.DUMMYFUNCTION("""COMPUTED_VALUE"""),"REPARACIONES")</f>
        <v>REPARACIONES</v>
      </c>
      <c r="D55" s="46" t="str">
        <f ca="1">IFERROR(__xludf.DUMMYFUNCTION("""COMPUTED_VALUE"""),"ASCENDENTE")</f>
        <v>ASCENDENTE</v>
      </c>
      <c r="E55" s="46" t="str">
        <f ca="1">IFERROR(__xludf.DUMMYFUNCTION("""COMPUTED_VALUE"""),"BITACORA OPERATIVA")</f>
        <v>BITACORA OPERATIVA</v>
      </c>
      <c r="F55" s="47">
        <f ca="1">IFERROR(__xludf.DUMMYFUNCTION("""COMPUTED_VALUE"""),63.8888888888888)</f>
        <v>63.8888888888888</v>
      </c>
      <c r="G55" s="48">
        <f ca="1">IFERROR(__xludf.DUMMYFUNCTION("""COMPUTED_VALUE"""),0)</f>
        <v>0</v>
      </c>
      <c r="H55" s="48">
        <f ca="1">IFERROR(__xludf.DUMMYFUNCTION("""COMPUTED_VALUE"""),0)</f>
        <v>0</v>
      </c>
      <c r="I55" s="48">
        <f ca="1">IFERROR(__xludf.DUMMYFUNCTION("""COMPUTED_VALUE"""),0)</f>
        <v>0</v>
      </c>
      <c r="J55" s="48">
        <f ca="1">IFERROR(__xludf.DUMMYFUNCTION("""COMPUTED_VALUE"""),8)</f>
        <v>8</v>
      </c>
      <c r="K55" s="48">
        <f ca="1">IFERROR(__xludf.DUMMYFUNCTION("""COMPUTED_VALUE"""),6)</f>
        <v>6</v>
      </c>
      <c r="L55" s="48">
        <f ca="1">IFERROR(__xludf.DUMMYFUNCTION("""COMPUTED_VALUE"""),8)</f>
        <v>8</v>
      </c>
      <c r="M55" s="48">
        <f ca="1">IFERROR(__xludf.DUMMYFUNCTION("""COMPUTED_VALUE"""),17)</f>
        <v>17</v>
      </c>
      <c r="N55" s="48">
        <f ca="1">IFERROR(__xludf.DUMMYFUNCTION("""COMPUTED_VALUE"""),8)</f>
        <v>8</v>
      </c>
      <c r="O55" s="48">
        <f ca="1">IFERROR(__xludf.DUMMYFUNCTION("""COMPUTED_VALUE"""),18)</f>
        <v>18</v>
      </c>
      <c r="P55" s="48">
        <f ca="1">IFERROR(__xludf.DUMMYFUNCTION("""COMPUTED_VALUE"""),7)</f>
        <v>7</v>
      </c>
      <c r="Q55" s="48">
        <f ca="1">IFERROR(__xludf.DUMMYFUNCTION("""COMPUTED_VALUE"""),17)</f>
        <v>17</v>
      </c>
      <c r="R55" s="48">
        <f ca="1">IFERROR(__xludf.DUMMYFUNCTION("""COMPUTED_VALUE"""),3)</f>
        <v>3</v>
      </c>
      <c r="S55" s="48">
        <f ca="1">IFERROR(__xludf.DUMMYFUNCTION("""COMPUTED_VALUE"""),92)</f>
        <v>92</v>
      </c>
    </row>
    <row r="56" spans="1:19">
      <c r="A56" s="46" t="str">
        <f ca="1">IFERROR(__xludf.DUMMYFUNCTION("""COMPUTED_VALUE"""),"REVISIÓN DE NIVELES (DIARIO)")</f>
        <v>REVISIÓN DE NIVELES (DIARIO)</v>
      </c>
      <c r="B56" s="46">
        <f ca="1">IFERROR(__xludf.DUMMYFUNCTION("""COMPUTED_VALUE"""),144)</f>
        <v>144</v>
      </c>
      <c r="C56" s="46" t="str">
        <f ca="1">IFERROR(__xludf.DUMMYFUNCTION("""COMPUTED_VALUE"""),"REVISIONES")</f>
        <v>REVISIONES</v>
      </c>
      <c r="D56" s="46" t="str">
        <f ca="1">IFERROR(__xludf.DUMMYFUNCTION("""COMPUTED_VALUE"""),"ASCENDENTE")</f>
        <v>ASCENDENTE</v>
      </c>
      <c r="E56" s="46" t="str">
        <f ca="1">IFERROR(__xludf.DUMMYFUNCTION("""COMPUTED_VALUE"""),"BITACORA OPERATIVA")</f>
        <v>BITACORA OPERATIVA</v>
      </c>
      <c r="F56" s="47">
        <f ca="1">IFERROR(__xludf.DUMMYFUNCTION("""COMPUTED_VALUE"""),109.027777777777)</f>
        <v>109.027777777777</v>
      </c>
      <c r="G56" s="48">
        <f ca="1">IFERROR(__xludf.DUMMYFUNCTION("""COMPUTED_VALUE"""),0)</f>
        <v>0</v>
      </c>
      <c r="H56" s="48">
        <f ca="1">IFERROR(__xludf.DUMMYFUNCTION("""COMPUTED_VALUE"""),0)</f>
        <v>0</v>
      </c>
      <c r="I56" s="48">
        <f ca="1">IFERROR(__xludf.DUMMYFUNCTION("""COMPUTED_VALUE"""),0)</f>
        <v>0</v>
      </c>
      <c r="J56" s="48">
        <f ca="1">IFERROR(__xludf.DUMMYFUNCTION("""COMPUTED_VALUE"""),14)</f>
        <v>14</v>
      </c>
      <c r="K56" s="48">
        <f ca="1">IFERROR(__xludf.DUMMYFUNCTION("""COMPUTED_VALUE"""),15)</f>
        <v>15</v>
      </c>
      <c r="L56" s="48">
        <f ca="1">IFERROR(__xludf.DUMMYFUNCTION("""COMPUTED_VALUE"""),13)</f>
        <v>13</v>
      </c>
      <c r="M56" s="48">
        <f ca="1">IFERROR(__xludf.DUMMYFUNCTION("""COMPUTED_VALUE"""),18)</f>
        <v>18</v>
      </c>
      <c r="N56" s="48">
        <f ca="1">IFERROR(__xludf.DUMMYFUNCTION("""COMPUTED_VALUE"""),21)</f>
        <v>21</v>
      </c>
      <c r="O56" s="48">
        <f ca="1">IFERROR(__xludf.DUMMYFUNCTION("""COMPUTED_VALUE"""),19)</f>
        <v>19</v>
      </c>
      <c r="P56" s="48">
        <f ca="1">IFERROR(__xludf.DUMMYFUNCTION("""COMPUTED_VALUE"""),22)</f>
        <v>22</v>
      </c>
      <c r="Q56" s="48">
        <f ca="1">IFERROR(__xludf.DUMMYFUNCTION("""COMPUTED_VALUE"""),21)</f>
        <v>21</v>
      </c>
      <c r="R56" s="48">
        <f ca="1">IFERROR(__xludf.DUMMYFUNCTION("""COMPUTED_VALUE"""),14)</f>
        <v>14</v>
      </c>
      <c r="S56" s="48">
        <f ca="1">IFERROR(__xludf.DUMMYFUNCTION("""COMPUTED_VALUE"""),157)</f>
        <v>157</v>
      </c>
    </row>
    <row r="57" spans="1:19">
      <c r="A57" s="46" t="str">
        <f ca="1">IFERROR(__xludf.DUMMYFUNCTION("""COMPUTED_VALUE"""),"REPARACIONES ELÉCTRICAS")</f>
        <v>REPARACIONES ELÉCTRICAS</v>
      </c>
      <c r="B57" s="46">
        <f ca="1">IFERROR(__xludf.DUMMYFUNCTION("""COMPUTED_VALUE"""),192)</f>
        <v>192</v>
      </c>
      <c r="C57" s="46" t="str">
        <f ca="1">IFERROR(__xludf.DUMMYFUNCTION("""COMPUTED_VALUE"""),"REPARACIONES ")</f>
        <v xml:space="preserve">REPARACIONES </v>
      </c>
      <c r="D57" s="46" t="str">
        <f ca="1">IFERROR(__xludf.DUMMYFUNCTION("""COMPUTED_VALUE"""),"ASCENDENTE")</f>
        <v>ASCENDENTE</v>
      </c>
      <c r="E57" s="46" t="str">
        <f ca="1">IFERROR(__xludf.DUMMYFUNCTION("""COMPUTED_VALUE"""),"BITACORA OPERATIVA")</f>
        <v>BITACORA OPERATIVA</v>
      </c>
      <c r="F57" s="47">
        <f ca="1">IFERROR(__xludf.DUMMYFUNCTION("""COMPUTED_VALUE"""),67.7083333333333)</f>
        <v>67.7083333333333</v>
      </c>
      <c r="G57" s="48">
        <f ca="1">IFERROR(__xludf.DUMMYFUNCTION("""COMPUTED_VALUE"""),0)</f>
        <v>0</v>
      </c>
      <c r="H57" s="48">
        <f ca="1">IFERROR(__xludf.DUMMYFUNCTION("""COMPUTED_VALUE"""),0)</f>
        <v>0</v>
      </c>
      <c r="I57" s="48">
        <f ca="1">IFERROR(__xludf.DUMMYFUNCTION("""COMPUTED_VALUE"""),0)</f>
        <v>0</v>
      </c>
      <c r="J57" s="48">
        <f ca="1">IFERROR(__xludf.DUMMYFUNCTION("""COMPUTED_VALUE"""),20)</f>
        <v>20</v>
      </c>
      <c r="K57" s="48">
        <f ca="1">IFERROR(__xludf.DUMMYFUNCTION("""COMPUTED_VALUE"""),18)</f>
        <v>18</v>
      </c>
      <c r="L57" s="48">
        <f ca="1">IFERROR(__xludf.DUMMYFUNCTION("""COMPUTED_VALUE"""),25)</f>
        <v>25</v>
      </c>
      <c r="M57" s="48">
        <f ca="1">IFERROR(__xludf.DUMMYFUNCTION("""COMPUTED_VALUE"""),28)</f>
        <v>28</v>
      </c>
      <c r="N57" s="48">
        <f ca="1">IFERROR(__xludf.DUMMYFUNCTION("""COMPUTED_VALUE"""),0)</f>
        <v>0</v>
      </c>
      <c r="O57" s="48">
        <f ca="1">IFERROR(__xludf.DUMMYFUNCTION("""COMPUTED_VALUE"""),14)</f>
        <v>14</v>
      </c>
      <c r="P57" s="48">
        <f ca="1">IFERROR(__xludf.DUMMYFUNCTION("""COMPUTED_VALUE"""),6)</f>
        <v>6</v>
      </c>
      <c r="Q57" s="48">
        <f ca="1">IFERROR(__xludf.DUMMYFUNCTION("""COMPUTED_VALUE"""),18)</f>
        <v>18</v>
      </c>
      <c r="R57" s="48">
        <f ca="1">IFERROR(__xludf.DUMMYFUNCTION("""COMPUTED_VALUE"""),1)</f>
        <v>1</v>
      </c>
      <c r="S57" s="48">
        <f ca="1">IFERROR(__xludf.DUMMYFUNCTION("""COMPUTED_VALUE"""),130)</f>
        <v>130</v>
      </c>
    </row>
    <row r="58" spans="1:19">
      <c r="A58" s="46" t="str">
        <f ca="1">IFERROR(__xludf.DUMMYFUNCTION("""COMPUTED_VALUE"""),"REPARACION DE VEHICULOS EN TALLER MUNICIPAL")</f>
        <v>REPARACION DE VEHICULOS EN TALLER MUNICIPAL</v>
      </c>
      <c r="B58" s="46">
        <f ca="1">IFERROR(__xludf.DUMMYFUNCTION("""COMPUTED_VALUE"""),240)</f>
        <v>240</v>
      </c>
      <c r="C58" s="46" t="str">
        <f ca="1">IFERROR(__xludf.DUMMYFUNCTION("""COMPUTED_VALUE"""),"REPARACIONES")</f>
        <v>REPARACIONES</v>
      </c>
      <c r="D58" s="46" t="str">
        <f ca="1">IFERROR(__xludf.DUMMYFUNCTION("""COMPUTED_VALUE"""),"ASCENDENTE")</f>
        <v>ASCENDENTE</v>
      </c>
      <c r="E58" s="46" t="str">
        <f ca="1">IFERROR(__xludf.DUMMYFUNCTION("""COMPUTED_VALUE"""),"BITACORA OPERATIVA")</f>
        <v>BITACORA OPERATIVA</v>
      </c>
      <c r="F58" s="47">
        <f ca="1">IFERROR(__xludf.DUMMYFUNCTION("""COMPUTED_VALUE"""),63.3333333333333)</f>
        <v>63.3333333333333</v>
      </c>
      <c r="G58" s="48">
        <f ca="1">IFERROR(__xludf.DUMMYFUNCTION("""COMPUTED_VALUE"""),0)</f>
        <v>0</v>
      </c>
      <c r="H58" s="48">
        <f ca="1">IFERROR(__xludf.DUMMYFUNCTION("""COMPUTED_VALUE"""),0)</f>
        <v>0</v>
      </c>
      <c r="I58" s="48">
        <f ca="1">IFERROR(__xludf.DUMMYFUNCTION("""COMPUTED_VALUE"""),0)</f>
        <v>0</v>
      </c>
      <c r="J58" s="48">
        <f ca="1">IFERROR(__xludf.DUMMYFUNCTION("""COMPUTED_VALUE"""),23)</f>
        <v>23</v>
      </c>
      <c r="K58" s="48">
        <f ca="1">IFERROR(__xludf.DUMMYFUNCTION("""COMPUTED_VALUE"""),10)</f>
        <v>10</v>
      </c>
      <c r="L58" s="48">
        <f ca="1">IFERROR(__xludf.DUMMYFUNCTION("""COMPUTED_VALUE"""),22)</f>
        <v>22</v>
      </c>
      <c r="M58" s="48">
        <f ca="1">IFERROR(__xludf.DUMMYFUNCTION("""COMPUTED_VALUE"""),17)</f>
        <v>17</v>
      </c>
      <c r="N58" s="48">
        <f ca="1">IFERROR(__xludf.DUMMYFUNCTION("""COMPUTED_VALUE"""),15)</f>
        <v>15</v>
      </c>
      <c r="O58" s="48">
        <f ca="1">IFERROR(__xludf.DUMMYFUNCTION("""COMPUTED_VALUE"""),16)</f>
        <v>16</v>
      </c>
      <c r="P58" s="48">
        <f ca="1">IFERROR(__xludf.DUMMYFUNCTION("""COMPUTED_VALUE"""),12)</f>
        <v>12</v>
      </c>
      <c r="Q58" s="48">
        <f ca="1">IFERROR(__xludf.DUMMYFUNCTION("""COMPUTED_VALUE"""),14)</f>
        <v>14</v>
      </c>
      <c r="R58" s="48">
        <f ca="1">IFERROR(__xludf.DUMMYFUNCTION("""COMPUTED_VALUE"""),23)</f>
        <v>23</v>
      </c>
      <c r="S58" s="48">
        <f ca="1">IFERROR(__xludf.DUMMYFUNCTION("""COMPUTED_VALUE"""),152)</f>
        <v>152</v>
      </c>
    </row>
    <row r="59" spans="1:19">
      <c r="A59" s="46" t="str">
        <f ca="1">IFERROR(__xludf.DUMMYFUNCTION("""COMPUTED_VALUE"""),"CANALIZACIÓN A TALLERES EXTERNOS (SUBROGADOS)")</f>
        <v>CANALIZACIÓN A TALLERES EXTERNOS (SUBROGADOS)</v>
      </c>
      <c r="B59" s="46">
        <f ca="1">IFERROR(__xludf.DUMMYFUNCTION("""COMPUTED_VALUE"""),1020)</f>
        <v>1020</v>
      </c>
      <c r="C59" s="46" t="str">
        <f ca="1">IFERROR(__xludf.DUMMYFUNCTION("""COMPUTED_VALUE"""),"CANALIZACIONES A OTROS TALLERES")</f>
        <v>CANALIZACIONES A OTROS TALLERES</v>
      </c>
      <c r="D59" s="46" t="str">
        <f ca="1">IFERROR(__xludf.DUMMYFUNCTION("""COMPUTED_VALUE"""),"ASCENDENTE")</f>
        <v>ASCENDENTE</v>
      </c>
      <c r="E59" s="46" t="str">
        <f ca="1">IFERROR(__xludf.DUMMYFUNCTION("""COMPUTED_VALUE"""),"BITACORA OPERATIVA")</f>
        <v>BITACORA OPERATIVA</v>
      </c>
      <c r="F59" s="47">
        <f ca="1">IFERROR(__xludf.DUMMYFUNCTION("""COMPUTED_VALUE"""),84.1176470588235)</f>
        <v>84.117647058823493</v>
      </c>
      <c r="G59" s="48">
        <f ca="1">IFERROR(__xludf.DUMMYFUNCTION("""COMPUTED_VALUE"""),46)</f>
        <v>46</v>
      </c>
      <c r="H59" s="48">
        <f ca="1">IFERROR(__xludf.DUMMYFUNCTION("""COMPUTED_VALUE"""),31)</f>
        <v>31</v>
      </c>
      <c r="I59" s="48">
        <f ca="1">IFERROR(__xludf.DUMMYFUNCTION("""COMPUTED_VALUE"""),22)</f>
        <v>22</v>
      </c>
      <c r="J59" s="48">
        <f ca="1">IFERROR(__xludf.DUMMYFUNCTION("""COMPUTED_VALUE"""),91)</f>
        <v>91</v>
      </c>
      <c r="K59" s="48">
        <f ca="1">IFERROR(__xludf.DUMMYFUNCTION("""COMPUTED_VALUE"""),73)</f>
        <v>73</v>
      </c>
      <c r="L59" s="48">
        <f ca="1">IFERROR(__xludf.DUMMYFUNCTION("""COMPUTED_VALUE"""),85)</f>
        <v>85</v>
      </c>
      <c r="M59" s="48">
        <f ca="1">IFERROR(__xludf.DUMMYFUNCTION("""COMPUTED_VALUE"""),103)</f>
        <v>103</v>
      </c>
      <c r="N59" s="48">
        <f ca="1">IFERROR(__xludf.DUMMYFUNCTION("""COMPUTED_VALUE"""),73)</f>
        <v>73</v>
      </c>
      <c r="O59" s="48">
        <f ca="1">IFERROR(__xludf.DUMMYFUNCTION("""COMPUTED_VALUE"""),98)</f>
        <v>98</v>
      </c>
      <c r="P59" s="48">
        <f ca="1">IFERROR(__xludf.DUMMYFUNCTION("""COMPUTED_VALUE"""),79)</f>
        <v>79</v>
      </c>
      <c r="Q59" s="48">
        <f ca="1">IFERROR(__xludf.DUMMYFUNCTION("""COMPUTED_VALUE"""),94)</f>
        <v>94</v>
      </c>
      <c r="R59" s="48">
        <f ca="1">IFERROR(__xludf.DUMMYFUNCTION("""COMPUTED_VALUE"""),63)</f>
        <v>63</v>
      </c>
      <c r="S59" s="48">
        <f ca="1">IFERROR(__xludf.DUMMYFUNCTION("""COMPUTED_VALUE"""),858)</f>
        <v>858</v>
      </c>
    </row>
    <row r="60" spans="1:19">
      <c r="A60" s="46" t="str">
        <f ca="1">IFERROR(__xludf.DUMMYFUNCTION("""COMPUTED_VALUE"""),"AFINACIONES")</f>
        <v>AFINACIONES</v>
      </c>
      <c r="B60" s="46">
        <f ca="1">IFERROR(__xludf.DUMMYFUNCTION("""COMPUTED_VALUE"""),660)</f>
        <v>660</v>
      </c>
      <c r="C60" s="46" t="str">
        <f ca="1">IFERROR(__xludf.DUMMYFUNCTION("""COMPUTED_VALUE"""),"AFINACIONES")</f>
        <v>AFINACIONES</v>
      </c>
      <c r="D60" s="46" t="str">
        <f ca="1">IFERROR(__xludf.DUMMYFUNCTION("""COMPUTED_VALUE"""),"ASCENDENTE")</f>
        <v>ASCENDENTE</v>
      </c>
      <c r="E60" s="46" t="str">
        <f ca="1">IFERROR(__xludf.DUMMYFUNCTION("""COMPUTED_VALUE"""),"BITACORA OPERATIVA")</f>
        <v>BITACORA OPERATIVA</v>
      </c>
      <c r="F60" s="47">
        <f ca="1">IFERROR(__xludf.DUMMYFUNCTION("""COMPUTED_VALUE"""),78.030303030303)</f>
        <v>78.030303030303003</v>
      </c>
      <c r="G60" s="48">
        <f ca="1">IFERROR(__xludf.DUMMYFUNCTION("""COMPUTED_VALUE"""),12)</f>
        <v>12</v>
      </c>
      <c r="H60" s="48">
        <f ca="1">IFERROR(__xludf.DUMMYFUNCTION("""COMPUTED_VALUE"""),37)</f>
        <v>37</v>
      </c>
      <c r="I60" s="48">
        <f ca="1">IFERROR(__xludf.DUMMYFUNCTION("""COMPUTED_VALUE"""),23)</f>
        <v>23</v>
      </c>
      <c r="J60" s="48">
        <f ca="1">IFERROR(__xludf.DUMMYFUNCTION("""COMPUTED_VALUE"""),56)</f>
        <v>56</v>
      </c>
      <c r="K60" s="48">
        <f ca="1">IFERROR(__xludf.DUMMYFUNCTION("""COMPUTED_VALUE"""),63)</f>
        <v>63</v>
      </c>
      <c r="L60" s="48">
        <f ca="1">IFERROR(__xludf.DUMMYFUNCTION("""COMPUTED_VALUE"""),58)</f>
        <v>58</v>
      </c>
      <c r="M60" s="48">
        <f ca="1">IFERROR(__xludf.DUMMYFUNCTION("""COMPUTED_VALUE"""),30)</f>
        <v>30</v>
      </c>
      <c r="N60" s="48">
        <f ca="1">IFERROR(__xludf.DUMMYFUNCTION("""COMPUTED_VALUE"""),34)</f>
        <v>34</v>
      </c>
      <c r="O60" s="48">
        <f ca="1">IFERROR(__xludf.DUMMYFUNCTION("""COMPUTED_VALUE"""),32)</f>
        <v>32</v>
      </c>
      <c r="P60" s="48">
        <f ca="1">IFERROR(__xludf.DUMMYFUNCTION("""COMPUTED_VALUE"""),57)</f>
        <v>57</v>
      </c>
      <c r="Q60" s="48">
        <f ca="1">IFERROR(__xludf.DUMMYFUNCTION("""COMPUTED_VALUE"""),62)</f>
        <v>62</v>
      </c>
      <c r="R60" s="48">
        <f ca="1">IFERROR(__xludf.DUMMYFUNCTION("""COMPUTED_VALUE"""),51)</f>
        <v>51</v>
      </c>
      <c r="S60" s="48">
        <f ca="1">IFERROR(__xludf.DUMMYFUNCTION("""COMPUTED_VALUE"""),515)</f>
        <v>515</v>
      </c>
    </row>
    <row r="61" spans="1:19">
      <c r="A61" s="46" t="str">
        <f ca="1">IFERROR(__xludf.DUMMYFUNCTION("""COMPUTED_VALUE"""),"CAMBIO DE TAMBORES")</f>
        <v>CAMBIO DE TAMBORES</v>
      </c>
      <c r="B61" s="46">
        <f ca="1">IFERROR(__xludf.DUMMYFUNCTION("""COMPUTED_VALUE"""),120)</f>
        <v>120</v>
      </c>
      <c r="C61" s="46" t="str">
        <f ca="1">IFERROR(__xludf.DUMMYFUNCTION("""COMPUTED_VALUE"""),"CAMBIOS DE TAMBORES")</f>
        <v>CAMBIOS DE TAMBORES</v>
      </c>
      <c r="D61" s="46" t="str">
        <f ca="1">IFERROR(__xludf.DUMMYFUNCTION("""COMPUTED_VALUE"""),"ASCENDENTE")</f>
        <v>ASCENDENTE</v>
      </c>
      <c r="E61" s="46" t="str">
        <f ca="1">IFERROR(__xludf.DUMMYFUNCTION("""COMPUTED_VALUE"""),"BITACORA OPERATIVA")</f>
        <v>BITACORA OPERATIVA</v>
      </c>
      <c r="F61" s="47">
        <f ca="1">IFERROR(__xludf.DUMMYFUNCTION("""COMPUTED_VALUE"""),151.666666666666)</f>
        <v>151.666666666666</v>
      </c>
      <c r="G61" s="48">
        <f ca="1">IFERROR(__xludf.DUMMYFUNCTION("""COMPUTED_VALUE"""),21)</f>
        <v>21</v>
      </c>
      <c r="H61" s="48">
        <f ca="1">IFERROR(__xludf.DUMMYFUNCTION("""COMPUTED_VALUE"""),18)</f>
        <v>18</v>
      </c>
      <c r="I61" s="48">
        <f ca="1">IFERROR(__xludf.DUMMYFUNCTION("""COMPUTED_VALUE"""),11)</f>
        <v>11</v>
      </c>
      <c r="J61" s="48">
        <f ca="1">IFERROR(__xludf.DUMMYFUNCTION("""COMPUTED_VALUE"""),22)</f>
        <v>22</v>
      </c>
      <c r="K61" s="48">
        <f ca="1">IFERROR(__xludf.DUMMYFUNCTION("""COMPUTED_VALUE"""),10)</f>
        <v>10</v>
      </c>
      <c r="L61" s="48">
        <f ca="1">IFERROR(__xludf.DUMMYFUNCTION("""COMPUTED_VALUE"""),10)</f>
        <v>10</v>
      </c>
      <c r="M61" s="48">
        <f ca="1">IFERROR(__xludf.DUMMYFUNCTION("""COMPUTED_VALUE"""),13)</f>
        <v>13</v>
      </c>
      <c r="N61" s="48">
        <f ca="1">IFERROR(__xludf.DUMMYFUNCTION("""COMPUTED_VALUE"""),15)</f>
        <v>15</v>
      </c>
      <c r="O61" s="48">
        <f ca="1">IFERROR(__xludf.DUMMYFUNCTION("""COMPUTED_VALUE"""),14)</f>
        <v>14</v>
      </c>
      <c r="P61" s="48">
        <f ca="1">IFERROR(__xludf.DUMMYFUNCTION("""COMPUTED_VALUE"""),17)</f>
        <v>17</v>
      </c>
      <c r="Q61" s="48">
        <f ca="1">IFERROR(__xludf.DUMMYFUNCTION("""COMPUTED_VALUE"""),15)</f>
        <v>15</v>
      </c>
      <c r="R61" s="48">
        <f ca="1">IFERROR(__xludf.DUMMYFUNCTION("""COMPUTED_VALUE"""),16)</f>
        <v>16</v>
      </c>
      <c r="S61" s="48">
        <f ca="1">IFERROR(__xludf.DUMMYFUNCTION("""COMPUTED_VALUE"""),182)</f>
        <v>182</v>
      </c>
    </row>
    <row r="62" spans="1:19">
      <c r="A62" s="46" t="str">
        <f ca="1">IFERROR(__xludf.DUMMYFUNCTION("""COMPUTED_VALUE"""),"CAMBIO DE BALATAS")</f>
        <v>CAMBIO DE BALATAS</v>
      </c>
      <c r="B62" s="46">
        <f ca="1">IFERROR(__xludf.DUMMYFUNCTION("""COMPUTED_VALUE"""),3)</f>
        <v>3</v>
      </c>
      <c r="C62" s="46" t="str">
        <f ca="1">IFERROR(__xludf.DUMMYFUNCTION("""COMPUTED_VALUE"""),"CAMBIOS DE BALATAS")</f>
        <v>CAMBIOS DE BALATAS</v>
      </c>
      <c r="D62" s="46" t="str">
        <f ca="1">IFERROR(__xludf.DUMMYFUNCTION("""COMPUTED_VALUE"""),"ASCENDENTE")</f>
        <v>ASCENDENTE</v>
      </c>
      <c r="E62" s="46" t="str">
        <f ca="1">IFERROR(__xludf.DUMMYFUNCTION("""COMPUTED_VALUE"""),"BITACORA OPERATIVA")</f>
        <v>BITACORA OPERATIVA</v>
      </c>
      <c r="F62" s="47">
        <f ca="1">IFERROR(__xludf.DUMMYFUNCTION("""COMPUTED_VALUE"""),300)</f>
        <v>300</v>
      </c>
      <c r="G62" s="48">
        <f ca="1">IFERROR(__xludf.DUMMYFUNCTION("""COMPUTED_VALUE"""),3)</f>
        <v>3</v>
      </c>
      <c r="H62" s="48">
        <f ca="1">IFERROR(__xludf.DUMMYFUNCTION("""COMPUTED_VALUE"""),1)</f>
        <v>1</v>
      </c>
      <c r="I62" s="48">
        <f ca="1">IFERROR(__xludf.DUMMYFUNCTION("""COMPUTED_VALUE"""),1)</f>
        <v>1</v>
      </c>
      <c r="J62" s="48">
        <f ca="1">IFERROR(__xludf.DUMMYFUNCTION("""COMPUTED_VALUE"""),0)</f>
        <v>0</v>
      </c>
      <c r="K62" s="48">
        <f ca="1">IFERROR(__xludf.DUMMYFUNCTION("""COMPUTED_VALUE"""),0)</f>
        <v>0</v>
      </c>
      <c r="L62" s="48">
        <f ca="1">IFERROR(__xludf.DUMMYFUNCTION("""COMPUTED_VALUE"""),1)</f>
        <v>1</v>
      </c>
      <c r="M62" s="48">
        <f ca="1">IFERROR(__xludf.DUMMYFUNCTION("""COMPUTED_VALUE"""),0)</f>
        <v>0</v>
      </c>
      <c r="N62" s="48">
        <f ca="1">IFERROR(__xludf.DUMMYFUNCTION("""COMPUTED_VALUE"""),0)</f>
        <v>0</v>
      </c>
      <c r="O62" s="48">
        <f ca="1">IFERROR(__xludf.DUMMYFUNCTION("""COMPUTED_VALUE"""),2)</f>
        <v>2</v>
      </c>
      <c r="P62" s="48">
        <f ca="1">IFERROR(__xludf.DUMMYFUNCTION("""COMPUTED_VALUE"""),0)</f>
        <v>0</v>
      </c>
      <c r="Q62" s="48">
        <f ca="1">IFERROR(__xludf.DUMMYFUNCTION("""COMPUTED_VALUE"""),1)</f>
        <v>1</v>
      </c>
      <c r="R62" s="48">
        <f ca="1">IFERROR(__xludf.DUMMYFUNCTION("""COMPUTED_VALUE"""),0)</f>
        <v>0</v>
      </c>
      <c r="S62" s="48">
        <f ca="1">IFERROR(__xludf.DUMMYFUNCTION("""COMPUTED_VALUE"""),9)</f>
        <v>9</v>
      </c>
    </row>
    <row r="63" spans="1:19">
      <c r="A63" s="46" t="str">
        <f ca="1">IFERROR(__xludf.DUMMYFUNCTION("""COMPUTED_VALUE"""),"REPARACIÓN DE EQUIPOS DE JARDINERÍA (DESBROZADORAS, MOTOBOMBAS, MOTOSIERRAS, ETC.)")</f>
        <v>REPARACIÓN DE EQUIPOS DE JARDINERÍA (DESBROZADORAS, MOTOBOMBAS, MOTOSIERRAS, ETC.)</v>
      </c>
      <c r="B63" s="46">
        <f ca="1">IFERROR(__xludf.DUMMYFUNCTION("""COMPUTED_VALUE"""),60)</f>
        <v>60</v>
      </c>
      <c r="C63" s="46" t="str">
        <f ca="1">IFERROR(__xludf.DUMMYFUNCTION("""COMPUTED_VALUE"""),"REPARACIONES")</f>
        <v>REPARACIONES</v>
      </c>
      <c r="D63" s="46" t="str">
        <f ca="1">IFERROR(__xludf.DUMMYFUNCTION("""COMPUTED_VALUE"""),"ASCENDENTE")</f>
        <v>ASCENDENTE</v>
      </c>
      <c r="E63" s="46" t="str">
        <f ca="1">IFERROR(__xludf.DUMMYFUNCTION("""COMPUTED_VALUE"""),"BITACORA OPERATIVA")</f>
        <v>BITACORA OPERATIVA</v>
      </c>
      <c r="F63" s="47">
        <f ca="1">IFERROR(__xludf.DUMMYFUNCTION("""COMPUTED_VALUE"""),146.666666666666)</f>
        <v>146.666666666666</v>
      </c>
      <c r="G63" s="48">
        <f ca="1">IFERROR(__xludf.DUMMYFUNCTION("""COMPUTED_VALUE"""),15)</f>
        <v>15</v>
      </c>
      <c r="H63" s="48">
        <f ca="1">IFERROR(__xludf.DUMMYFUNCTION("""COMPUTED_VALUE"""),9)</f>
        <v>9</v>
      </c>
      <c r="I63" s="48">
        <f ca="1">IFERROR(__xludf.DUMMYFUNCTION("""COMPUTED_VALUE"""),7)</f>
        <v>7</v>
      </c>
      <c r="J63" s="48">
        <f ca="1">IFERROR(__xludf.DUMMYFUNCTION("""COMPUTED_VALUE"""),4)</f>
        <v>4</v>
      </c>
      <c r="K63" s="48">
        <f ca="1">IFERROR(__xludf.DUMMYFUNCTION("""COMPUTED_VALUE"""),7)</f>
        <v>7</v>
      </c>
      <c r="L63" s="48">
        <f ca="1">IFERROR(__xludf.DUMMYFUNCTION("""COMPUTED_VALUE"""),6)</f>
        <v>6</v>
      </c>
      <c r="M63" s="48">
        <f ca="1">IFERROR(__xludf.DUMMYFUNCTION("""COMPUTED_VALUE"""),11)</f>
        <v>11</v>
      </c>
      <c r="N63" s="48">
        <f ca="1">IFERROR(__xludf.DUMMYFUNCTION("""COMPUTED_VALUE"""),4)</f>
        <v>4</v>
      </c>
      <c r="O63" s="48">
        <f ca="1">IFERROR(__xludf.DUMMYFUNCTION("""COMPUTED_VALUE"""),4)</f>
        <v>4</v>
      </c>
      <c r="P63" s="48">
        <f ca="1">IFERROR(__xludf.DUMMYFUNCTION("""COMPUTED_VALUE"""),11)</f>
        <v>11</v>
      </c>
      <c r="Q63" s="48">
        <f ca="1">IFERROR(__xludf.DUMMYFUNCTION("""COMPUTED_VALUE"""),7)</f>
        <v>7</v>
      </c>
      <c r="R63" s="48">
        <f ca="1">IFERROR(__xludf.DUMMYFUNCTION("""COMPUTED_VALUE"""),3)</f>
        <v>3</v>
      </c>
      <c r="S63" s="48">
        <f ca="1">IFERROR(__xludf.DUMMYFUNCTION("""COMPUTED_VALUE"""),88)</f>
        <v>88</v>
      </c>
    </row>
    <row r="64" spans="1:19">
      <c r="A64" s="46" t="str">
        <f ca="1">IFERROR(__xludf.DUMMYFUNCTION("""COMPUTED_VALUE"""),"RECARGAS DE ACEITE")</f>
        <v>RECARGAS DE ACEITE</v>
      </c>
      <c r="B64" s="46">
        <f ca="1">IFERROR(__xludf.DUMMYFUNCTION("""COMPUTED_VALUE"""),600)</f>
        <v>600</v>
      </c>
      <c r="C64" s="46" t="str">
        <f ca="1">IFERROR(__xludf.DUMMYFUNCTION("""COMPUTED_VALUE"""),"RECARGAS DE ACEITE")</f>
        <v>RECARGAS DE ACEITE</v>
      </c>
      <c r="D64" s="46" t="str">
        <f ca="1">IFERROR(__xludf.DUMMYFUNCTION("""COMPUTED_VALUE"""),"ASCENDENTE")</f>
        <v>ASCENDENTE</v>
      </c>
      <c r="E64" s="46" t="str">
        <f ca="1">IFERROR(__xludf.DUMMYFUNCTION("""COMPUTED_VALUE"""),"BITACORA OPERATIVA")</f>
        <v>BITACORA OPERATIVA</v>
      </c>
      <c r="F64" s="47">
        <f ca="1">IFERROR(__xludf.DUMMYFUNCTION("""COMPUTED_VALUE"""),68)</f>
        <v>68</v>
      </c>
      <c r="G64" s="48">
        <f ca="1">IFERROR(__xludf.DUMMYFUNCTION("""COMPUTED_VALUE"""),0)</f>
        <v>0</v>
      </c>
      <c r="H64" s="48">
        <f ca="1">IFERROR(__xludf.DUMMYFUNCTION("""COMPUTED_VALUE"""),0)</f>
        <v>0</v>
      </c>
      <c r="I64" s="48">
        <f ca="1">IFERROR(__xludf.DUMMYFUNCTION("""COMPUTED_VALUE"""),0)</f>
        <v>0</v>
      </c>
      <c r="J64" s="48">
        <f ca="1">IFERROR(__xludf.DUMMYFUNCTION("""COMPUTED_VALUE"""),58)</f>
        <v>58</v>
      </c>
      <c r="K64" s="48">
        <f ca="1">IFERROR(__xludf.DUMMYFUNCTION("""COMPUTED_VALUE"""),65)</f>
        <v>65</v>
      </c>
      <c r="L64" s="48">
        <f ca="1">IFERROR(__xludf.DUMMYFUNCTION("""COMPUTED_VALUE"""),48)</f>
        <v>48</v>
      </c>
      <c r="M64" s="48">
        <f ca="1">IFERROR(__xludf.DUMMYFUNCTION("""COMPUTED_VALUE"""),20)</f>
        <v>20</v>
      </c>
      <c r="N64" s="48">
        <f ca="1">IFERROR(__xludf.DUMMYFUNCTION("""COMPUTED_VALUE"""),8)</f>
        <v>8</v>
      </c>
      <c r="O64" s="48">
        <f ca="1">IFERROR(__xludf.DUMMYFUNCTION("""COMPUTED_VALUE"""),53)</f>
        <v>53</v>
      </c>
      <c r="P64" s="48">
        <f ca="1">IFERROR(__xludf.DUMMYFUNCTION("""COMPUTED_VALUE"""),58)</f>
        <v>58</v>
      </c>
      <c r="Q64" s="48">
        <f ca="1">IFERROR(__xludf.DUMMYFUNCTION("""COMPUTED_VALUE"""),45)</f>
        <v>45</v>
      </c>
      <c r="R64" s="48">
        <f ca="1">IFERROR(__xludf.DUMMYFUNCTION("""COMPUTED_VALUE"""),53)</f>
        <v>53</v>
      </c>
      <c r="S64" s="48">
        <f ca="1">IFERROR(__xludf.DUMMYFUNCTION("""COMPUTED_VALUE"""),408)</f>
        <v>408</v>
      </c>
    </row>
    <row r="65" spans="1:19">
      <c r="A65" s="46" t="str">
        <f ca="1">IFERROR(__xludf.DUMMYFUNCTION("""COMPUTED_VALUE"""),"INSTALACIÓN DE TABLAROCA M2")</f>
        <v>INSTALACIÓN DE TABLAROCA M2</v>
      </c>
      <c r="B65" s="46">
        <f ca="1">IFERROR(__xludf.DUMMYFUNCTION("""COMPUTED_VALUE"""),84)</f>
        <v>84</v>
      </c>
      <c r="C65" s="46" t="str">
        <f ca="1">IFERROR(__xludf.DUMMYFUNCTION("""COMPUTED_VALUE"""),"M2 INSTALADOS")</f>
        <v>M2 INSTALADOS</v>
      </c>
      <c r="D65" s="46" t="str">
        <f ca="1">IFERROR(__xludf.DUMMYFUNCTION("""COMPUTED_VALUE"""),"ASCENDENTE")</f>
        <v>ASCENDENTE</v>
      </c>
      <c r="E65" s="46" t="str">
        <f ca="1">IFERROR(__xludf.DUMMYFUNCTION("""COMPUTED_VALUE"""),"BITACORA OPERATIVA")</f>
        <v>BITACORA OPERATIVA</v>
      </c>
      <c r="F65" s="47">
        <f ca="1">IFERROR(__xludf.DUMMYFUNCTION("""COMPUTED_VALUE"""),88.095238095238)</f>
        <v>88.095238095238003</v>
      </c>
      <c r="G65" s="48">
        <f ca="1">IFERROR(__xludf.DUMMYFUNCTION("""COMPUTED_VALUE"""),7)</f>
        <v>7</v>
      </c>
      <c r="H65" s="48">
        <f ca="1">IFERROR(__xludf.DUMMYFUNCTION("""COMPUTED_VALUE"""),3)</f>
        <v>3</v>
      </c>
      <c r="I65" s="48">
        <f ca="1">IFERROR(__xludf.DUMMYFUNCTION("""COMPUTED_VALUE"""),3)</f>
        <v>3</v>
      </c>
      <c r="J65" s="48">
        <f ca="1">IFERROR(__xludf.DUMMYFUNCTION("""COMPUTED_VALUE"""),9)</f>
        <v>9</v>
      </c>
      <c r="K65" s="48">
        <f ca="1">IFERROR(__xludf.DUMMYFUNCTION("""COMPUTED_VALUE"""),4)</f>
        <v>4</v>
      </c>
      <c r="L65" s="48">
        <f ca="1">IFERROR(__xludf.DUMMYFUNCTION("""COMPUTED_VALUE"""),7)</f>
        <v>7</v>
      </c>
      <c r="M65" s="48">
        <f ca="1">IFERROR(__xludf.DUMMYFUNCTION("""COMPUTED_VALUE"""),12)</f>
        <v>12</v>
      </c>
      <c r="N65" s="48">
        <f ca="1">IFERROR(__xludf.DUMMYFUNCTION("""COMPUTED_VALUE"""),10)</f>
        <v>10</v>
      </c>
      <c r="O65" s="48">
        <f ca="1">IFERROR(__xludf.DUMMYFUNCTION("""COMPUTED_VALUE"""),11)</f>
        <v>11</v>
      </c>
      <c r="P65" s="48">
        <f ca="1">IFERROR(__xludf.DUMMYFUNCTION("""COMPUTED_VALUE"""),4)</f>
        <v>4</v>
      </c>
      <c r="Q65" s="48">
        <f ca="1">IFERROR(__xludf.DUMMYFUNCTION("""COMPUTED_VALUE"""),1)</f>
        <v>1</v>
      </c>
      <c r="R65" s="48">
        <f ca="1">IFERROR(__xludf.DUMMYFUNCTION("""COMPUTED_VALUE"""),3)</f>
        <v>3</v>
      </c>
      <c r="S65" s="48">
        <f ca="1">IFERROR(__xludf.DUMMYFUNCTION("""COMPUTED_VALUE"""),74)</f>
        <v>74</v>
      </c>
    </row>
    <row r="66" spans="1:19">
      <c r="A66" s="46" t="str">
        <f ca="1">IFERROR(__xludf.DUMMYFUNCTION("""COMPUTED_VALUE"""),"CALLES  BACHEADAS (NO. BACHES)")</f>
        <v>CALLES  BACHEADAS (NO. BACHES)</v>
      </c>
      <c r="B66" s="46">
        <f ca="1">IFERROR(__xludf.DUMMYFUNCTION("""COMPUTED_VALUE"""),15)</f>
        <v>15</v>
      </c>
      <c r="C66" s="46" t="str">
        <f ca="1">IFERROR(__xludf.DUMMYFUNCTION("""COMPUTED_VALUE"""),"M2 BACHEADS")</f>
        <v>M2 BACHEADS</v>
      </c>
      <c r="D66" s="46" t="str">
        <f ca="1">IFERROR(__xludf.DUMMYFUNCTION("""COMPUTED_VALUE"""),"ASCENDENTE")</f>
        <v>ASCENDENTE</v>
      </c>
      <c r="E66" s="46" t="str">
        <f ca="1">IFERROR(__xludf.DUMMYFUNCTION("""COMPUTED_VALUE"""),"BITACORA OPERATIVA")</f>
        <v>BITACORA OPERATIVA</v>
      </c>
      <c r="F66" s="47">
        <f ca="1">IFERROR(__xludf.DUMMYFUNCTION("""COMPUTED_VALUE"""),200)</f>
        <v>200</v>
      </c>
      <c r="G66" s="48">
        <f ca="1">IFERROR(__xludf.DUMMYFUNCTION("""COMPUTED_VALUE"""),10)</f>
        <v>10</v>
      </c>
      <c r="H66" s="48">
        <f ca="1">IFERROR(__xludf.DUMMYFUNCTION("""COMPUTED_VALUE"""),10)</f>
        <v>10</v>
      </c>
      <c r="I66" s="48">
        <f ca="1">IFERROR(__xludf.DUMMYFUNCTION("""COMPUTED_VALUE"""),10)</f>
        <v>10</v>
      </c>
      <c r="J66" s="48">
        <f ca="1">IFERROR(__xludf.DUMMYFUNCTION("""COMPUTED_VALUE"""),0)</f>
        <v>0</v>
      </c>
      <c r="K66" s="48">
        <f ca="1">IFERROR(__xludf.DUMMYFUNCTION("""COMPUTED_VALUE"""),0)</f>
        <v>0</v>
      </c>
      <c r="L66" s="48">
        <f ca="1">IFERROR(__xludf.DUMMYFUNCTION("""COMPUTED_VALUE"""),0)</f>
        <v>0</v>
      </c>
      <c r="M66" s="48">
        <f ca="1">IFERROR(__xludf.DUMMYFUNCTION("""COMPUTED_VALUE"""),0)</f>
        <v>0</v>
      </c>
      <c r="N66" s="48">
        <f ca="1">IFERROR(__xludf.DUMMYFUNCTION("""COMPUTED_VALUE"""),0)</f>
        <v>0</v>
      </c>
      <c r="O66" s="48">
        <f ca="1">IFERROR(__xludf.DUMMYFUNCTION("""COMPUTED_VALUE"""),0)</f>
        <v>0</v>
      </c>
      <c r="P66" s="48">
        <f ca="1">IFERROR(__xludf.DUMMYFUNCTION("""COMPUTED_VALUE"""),0)</f>
        <v>0</v>
      </c>
      <c r="Q66" s="48">
        <f ca="1">IFERROR(__xludf.DUMMYFUNCTION("""COMPUTED_VALUE"""),0)</f>
        <v>0</v>
      </c>
      <c r="R66" s="48">
        <f ca="1">IFERROR(__xludf.DUMMYFUNCTION("""COMPUTED_VALUE"""),0)</f>
        <v>0</v>
      </c>
      <c r="S66" s="48">
        <f ca="1">IFERROR(__xludf.DUMMYFUNCTION("""COMPUTED_VALUE"""),30)</f>
        <v>30</v>
      </c>
    </row>
    <row r="67" spans="1:19">
      <c r="A67" s="46" t="str">
        <f ca="1">IFERROR(__xludf.DUMMYFUNCTION("""COMPUTED_VALUE"""),"CARRETERAS BACHEADAS (NO. BACHES)")</f>
        <v>CARRETERAS BACHEADAS (NO. BACHES)</v>
      </c>
      <c r="B67" s="46">
        <f ca="1">IFERROR(__xludf.DUMMYFUNCTION("""COMPUTED_VALUE"""),9000)</f>
        <v>9000</v>
      </c>
      <c r="C67" s="46" t="str">
        <f ca="1">IFERROR(__xludf.DUMMYFUNCTION("""COMPUTED_VALUE"""),"M2 DE CARRETERA BACHEADOS")</f>
        <v>M2 DE CARRETERA BACHEADOS</v>
      </c>
      <c r="D67" s="46" t="str">
        <f ca="1">IFERROR(__xludf.DUMMYFUNCTION("""COMPUTED_VALUE"""),"ASCENDENTE")</f>
        <v>ASCENDENTE</v>
      </c>
      <c r="E67" s="46" t="str">
        <f ca="1">IFERROR(__xludf.DUMMYFUNCTION("""COMPUTED_VALUE"""),"BITACORA OPERATIVA")</f>
        <v>BITACORA OPERATIVA</v>
      </c>
      <c r="F67" s="47">
        <f ca="1">IFERROR(__xludf.DUMMYFUNCTION("""COMPUTED_VALUE"""),27.1222222222222)</f>
        <v>27.122222222222199</v>
      </c>
      <c r="G67" s="48">
        <f ca="1">IFERROR(__xludf.DUMMYFUNCTION("""COMPUTED_VALUE"""),14)</f>
        <v>14</v>
      </c>
      <c r="H67" s="48">
        <f ca="1">IFERROR(__xludf.DUMMYFUNCTION("""COMPUTED_VALUE"""),2)</f>
        <v>2</v>
      </c>
      <c r="I67" s="48">
        <f ca="1">IFERROR(__xludf.DUMMYFUNCTION("""COMPUTED_VALUE"""),12)</f>
        <v>12</v>
      </c>
      <c r="J67" s="48">
        <f ca="1">IFERROR(__xludf.DUMMYFUNCTION("""COMPUTED_VALUE"""),803)</f>
        <v>803</v>
      </c>
      <c r="K67" s="48">
        <f ca="1">IFERROR(__xludf.DUMMYFUNCTION("""COMPUTED_VALUE"""),960)</f>
        <v>960</v>
      </c>
      <c r="L67" s="48">
        <f ca="1">IFERROR(__xludf.DUMMYFUNCTION("""COMPUTED_VALUE"""),619)</f>
        <v>619</v>
      </c>
      <c r="M67" s="48">
        <f ca="1">IFERROR(__xludf.DUMMYFUNCTION("""COMPUTED_VALUE"""),1)</f>
        <v>1</v>
      </c>
      <c r="N67" s="48">
        <f ca="1">IFERROR(__xludf.DUMMYFUNCTION("""COMPUTED_VALUE"""),5)</f>
        <v>5</v>
      </c>
      <c r="O67" s="48">
        <f ca="1">IFERROR(__xludf.DUMMYFUNCTION("""COMPUTED_VALUE"""),25)</f>
        <v>25</v>
      </c>
      <c r="P67" s="48">
        <f ca="1">IFERROR(__xludf.DUMMYFUNCTION("""COMPUTED_VALUE"""),0)</f>
        <v>0</v>
      </c>
      <c r="Q67" s="48">
        <f ca="1">IFERROR(__xludf.DUMMYFUNCTION("""COMPUTED_VALUE"""),0)</f>
        <v>0</v>
      </c>
      <c r="R67" s="48">
        <f ca="1">IFERROR(__xludf.DUMMYFUNCTION("""COMPUTED_VALUE"""),0)</f>
        <v>0</v>
      </c>
      <c r="S67" s="48">
        <f ca="1">IFERROR(__xludf.DUMMYFUNCTION("""COMPUTED_VALUE"""),2441)</f>
        <v>2441</v>
      </c>
    </row>
    <row r="68" spans="1:19">
      <c r="A68" s="46" t="str">
        <f ca="1">IFERROR(__xludf.DUMMYFUNCTION("""COMPUTED_VALUE"""),"NÚMERO DE ASFALTO APLICADO (TONELADAS)")</f>
        <v>NÚMERO DE ASFALTO APLICADO (TONELADAS)</v>
      </c>
      <c r="B68" s="46">
        <f ca="1">IFERROR(__xludf.DUMMYFUNCTION("""COMPUTED_VALUE"""),9699)</f>
        <v>9699</v>
      </c>
      <c r="C68" s="46" t="str">
        <f ca="1">IFERROR(__xludf.DUMMYFUNCTION("""COMPUTED_VALUE"""),"ASFALTO APLICADO")</f>
        <v>ASFALTO APLICADO</v>
      </c>
      <c r="D68" s="46" t="str">
        <f ca="1">IFERROR(__xludf.DUMMYFUNCTION("""COMPUTED_VALUE"""),"ASCENDENTE")</f>
        <v>ASCENDENTE</v>
      </c>
      <c r="E68" s="46" t="str">
        <f ca="1">IFERROR(__xludf.DUMMYFUNCTION("""COMPUTED_VALUE"""),"BITACORA OPERATIVA")</f>
        <v>BITACORA OPERATIVA</v>
      </c>
      <c r="F68" s="47">
        <f ca="1">IFERROR(__xludf.DUMMYFUNCTION("""COMPUTED_VALUE"""),27.8069904113826)</f>
        <v>27.8069904113826</v>
      </c>
      <c r="G68" s="48">
        <f ca="1">IFERROR(__xludf.DUMMYFUNCTION("""COMPUTED_VALUE"""),4)</f>
        <v>4</v>
      </c>
      <c r="H68" s="48">
        <f ca="1">IFERROR(__xludf.DUMMYFUNCTION("""COMPUTED_VALUE"""),3)</f>
        <v>3</v>
      </c>
      <c r="I68" s="48">
        <f ca="1">IFERROR(__xludf.DUMMYFUNCTION("""COMPUTED_VALUE"""),2)</f>
        <v>2</v>
      </c>
      <c r="J68" s="48">
        <f ca="1">IFERROR(__xludf.DUMMYFUNCTION("""COMPUTED_VALUE"""),709)</f>
        <v>709</v>
      </c>
      <c r="K68" s="48">
        <f ca="1">IFERROR(__xludf.DUMMYFUNCTION("""COMPUTED_VALUE"""),1050)</f>
        <v>1050</v>
      </c>
      <c r="L68" s="48">
        <f ca="1">IFERROR(__xludf.DUMMYFUNCTION("""COMPUTED_VALUE"""),897)</f>
        <v>897</v>
      </c>
      <c r="M68" s="48">
        <f ca="1">IFERROR(__xludf.DUMMYFUNCTION("""COMPUTED_VALUE"""),12)</f>
        <v>12</v>
      </c>
      <c r="N68" s="48">
        <f ca="1">IFERROR(__xludf.DUMMYFUNCTION("""COMPUTED_VALUE"""),8)</f>
        <v>8</v>
      </c>
      <c r="O68" s="48">
        <f ca="1">IFERROR(__xludf.DUMMYFUNCTION("""COMPUTED_VALUE"""),12)</f>
        <v>12</v>
      </c>
      <c r="P68" s="48">
        <f ca="1">IFERROR(__xludf.DUMMYFUNCTION("""COMPUTED_VALUE"""),0)</f>
        <v>0</v>
      </c>
      <c r="Q68" s="48">
        <f ca="1">IFERROR(__xludf.DUMMYFUNCTION("""COMPUTED_VALUE"""),0)</f>
        <v>0</v>
      </c>
      <c r="R68" s="48">
        <f ca="1">IFERROR(__xludf.DUMMYFUNCTION("""COMPUTED_VALUE"""),0)</f>
        <v>0</v>
      </c>
      <c r="S68" s="48">
        <f ca="1">IFERROR(__xludf.DUMMYFUNCTION("""COMPUTED_VALUE"""),2697)</f>
        <v>2697</v>
      </c>
    </row>
    <row r="69" spans="1:19">
      <c r="A69" s="46" t="str">
        <f ca="1">IFERROR(__xludf.DUMMYFUNCTION("""COMPUTED_VALUE"""),"INSTALACIÓN DE POSTES PARA LÁMPARAS")</f>
        <v>INSTALACIÓN DE POSTES PARA LÁMPARAS</v>
      </c>
      <c r="B69" s="46">
        <f ca="1">IFERROR(__xludf.DUMMYFUNCTION("""COMPUTED_VALUE"""),600)</f>
        <v>600</v>
      </c>
      <c r="C69" s="46" t="str">
        <f ca="1">IFERROR(__xludf.DUMMYFUNCTION("""COMPUTED_VALUE"""),"POSTES INSTALADOS")</f>
        <v>POSTES INSTALADOS</v>
      </c>
      <c r="D69" s="46" t="str">
        <f ca="1">IFERROR(__xludf.DUMMYFUNCTION("""COMPUTED_VALUE"""),"ASCENDENTE")</f>
        <v>ASCENDENTE</v>
      </c>
      <c r="E69" s="46" t="str">
        <f ca="1">IFERROR(__xludf.DUMMYFUNCTION("""COMPUTED_VALUE"""),"BITACORA OPERATIVA")</f>
        <v>BITACORA OPERATIVA</v>
      </c>
      <c r="F69" s="47">
        <f ca="1">IFERROR(__xludf.DUMMYFUNCTION("""COMPUTED_VALUE"""),210.333333333333)</f>
        <v>210.333333333333</v>
      </c>
      <c r="G69" s="48">
        <f ca="1">IFERROR(__xludf.DUMMYFUNCTION("""COMPUTED_VALUE"""),132)</f>
        <v>132</v>
      </c>
      <c r="H69" s="48">
        <f ca="1">IFERROR(__xludf.DUMMYFUNCTION("""COMPUTED_VALUE"""),75)</f>
        <v>75</v>
      </c>
      <c r="I69" s="48">
        <f ca="1">IFERROR(__xludf.DUMMYFUNCTION("""COMPUTED_VALUE"""),117)</f>
        <v>117</v>
      </c>
      <c r="J69" s="48">
        <f ca="1">IFERROR(__xludf.DUMMYFUNCTION("""COMPUTED_VALUE"""),185)</f>
        <v>185</v>
      </c>
      <c r="K69" s="48">
        <f ca="1">IFERROR(__xludf.DUMMYFUNCTION("""COMPUTED_VALUE"""),198)</f>
        <v>198</v>
      </c>
      <c r="L69" s="48">
        <f ca="1">IFERROR(__xludf.DUMMYFUNCTION("""COMPUTED_VALUE"""),178)</f>
        <v>178</v>
      </c>
      <c r="M69" s="48">
        <f ca="1">IFERROR(__xludf.DUMMYFUNCTION("""COMPUTED_VALUE"""),28)</f>
        <v>28</v>
      </c>
      <c r="N69" s="48">
        <f ca="1">IFERROR(__xludf.DUMMYFUNCTION("""COMPUTED_VALUE"""),90)</f>
        <v>90</v>
      </c>
      <c r="O69" s="48">
        <f ca="1">IFERROR(__xludf.DUMMYFUNCTION("""COMPUTED_VALUE"""),141)</f>
        <v>141</v>
      </c>
      <c r="P69" s="48">
        <f ca="1">IFERROR(__xludf.DUMMYFUNCTION("""COMPUTED_VALUE"""),118)</f>
        <v>118</v>
      </c>
      <c r="Q69" s="48">
        <f ca="1">IFERROR(__xludf.DUMMYFUNCTION("""COMPUTED_VALUE"""),0)</f>
        <v>0</v>
      </c>
      <c r="R69" s="48">
        <f ca="1">IFERROR(__xludf.DUMMYFUNCTION("""COMPUTED_VALUE"""),0)</f>
        <v>0</v>
      </c>
      <c r="S69" s="48">
        <f ca="1">IFERROR(__xludf.DUMMYFUNCTION("""COMPUTED_VALUE"""),1262)</f>
        <v>1262</v>
      </c>
    </row>
    <row r="70" spans="1:19">
      <c r="A70" s="46" t="str">
        <f ca="1">IFERROR(__xludf.DUMMYFUNCTION("""COMPUTED_VALUE"""),"FUMIGACION EN CALLES")</f>
        <v>FUMIGACION EN CALLES</v>
      </c>
      <c r="B70" s="46">
        <f ca="1">IFERROR(__xludf.DUMMYFUNCTION("""COMPUTED_VALUE"""),120)</f>
        <v>120</v>
      </c>
      <c r="C70" s="46" t="str">
        <f ca="1">IFERROR(__xludf.DUMMYFUNCTION("""COMPUTED_VALUE"""),"FUMIGACIONES")</f>
        <v>FUMIGACIONES</v>
      </c>
      <c r="D70" s="46" t="str">
        <f ca="1">IFERROR(__xludf.DUMMYFUNCTION("""COMPUTED_VALUE"""),"ASCENDENTE")</f>
        <v>ASCENDENTE</v>
      </c>
      <c r="E70" s="46" t="str">
        <f ca="1">IFERROR(__xludf.DUMMYFUNCTION("""COMPUTED_VALUE"""),"BITACORA OPERATIVA")</f>
        <v>BITACORA OPERATIVA</v>
      </c>
      <c r="F70" s="47">
        <f ca="1">IFERROR(__xludf.DUMMYFUNCTION("""COMPUTED_VALUE"""),0)</f>
        <v>0</v>
      </c>
      <c r="G70" s="48">
        <f ca="1">IFERROR(__xludf.DUMMYFUNCTION("""COMPUTED_VALUE"""),0)</f>
        <v>0</v>
      </c>
      <c r="H70" s="48">
        <f ca="1">IFERROR(__xludf.DUMMYFUNCTION("""COMPUTED_VALUE"""),0)</f>
        <v>0</v>
      </c>
      <c r="I70" s="48">
        <f ca="1">IFERROR(__xludf.DUMMYFUNCTION("""COMPUTED_VALUE"""),0)</f>
        <v>0</v>
      </c>
      <c r="J70" s="48">
        <f ca="1">IFERROR(__xludf.DUMMYFUNCTION("""COMPUTED_VALUE"""),0)</f>
        <v>0</v>
      </c>
      <c r="K70" s="48">
        <f ca="1">IFERROR(__xludf.DUMMYFUNCTION("""COMPUTED_VALUE"""),0)</f>
        <v>0</v>
      </c>
      <c r="L70" s="48">
        <f ca="1">IFERROR(__xludf.DUMMYFUNCTION("""COMPUTED_VALUE"""),0)</f>
        <v>0</v>
      </c>
      <c r="M70" s="48">
        <f ca="1">IFERROR(__xludf.DUMMYFUNCTION("""COMPUTED_VALUE"""),0)</f>
        <v>0</v>
      </c>
      <c r="N70" s="48">
        <f ca="1">IFERROR(__xludf.DUMMYFUNCTION("""COMPUTED_VALUE"""),0)</f>
        <v>0</v>
      </c>
      <c r="O70" s="48">
        <f ca="1">IFERROR(__xludf.DUMMYFUNCTION("""COMPUTED_VALUE"""),0)</f>
        <v>0</v>
      </c>
      <c r="P70" s="48">
        <f ca="1">IFERROR(__xludf.DUMMYFUNCTION("""COMPUTED_VALUE"""),0)</f>
        <v>0</v>
      </c>
      <c r="Q70" s="48">
        <f ca="1">IFERROR(__xludf.DUMMYFUNCTION("""COMPUTED_VALUE"""),0)</f>
        <v>0</v>
      </c>
      <c r="R70" s="48">
        <f ca="1">IFERROR(__xludf.DUMMYFUNCTION("""COMPUTED_VALUE"""),0)</f>
        <v>0</v>
      </c>
      <c r="S70" s="48">
        <f ca="1">IFERROR(__xludf.DUMMYFUNCTION("""COMPUTED_VALUE"""),0)</f>
        <v>0</v>
      </c>
    </row>
    <row r="71" spans="1:19">
      <c r="A71" s="46" t="str">
        <f ca="1">IFERROR(__xludf.DUMMYFUNCTION("""COMPUTED_VALUE"""),"FUMIGACION EN EDIFICIOS Y PLAZAS PÚBLICOS")</f>
        <v>FUMIGACION EN EDIFICIOS Y PLAZAS PÚBLICOS</v>
      </c>
      <c r="B71" s="46">
        <f ca="1">IFERROR(__xludf.DUMMYFUNCTION("""COMPUTED_VALUE"""),50)</f>
        <v>50</v>
      </c>
      <c r="C71" s="46" t="str">
        <f ca="1">IFERROR(__xludf.DUMMYFUNCTION("""COMPUTED_VALUE"""),"FUMIGACIONES")</f>
        <v>FUMIGACIONES</v>
      </c>
      <c r="D71" s="46" t="str">
        <f ca="1">IFERROR(__xludf.DUMMYFUNCTION("""COMPUTED_VALUE"""),"ASCENDENTE")</f>
        <v>ASCENDENTE</v>
      </c>
      <c r="E71" s="46" t="str">
        <f ca="1">IFERROR(__xludf.DUMMYFUNCTION("""COMPUTED_VALUE"""),"BITACORA OPERATIVA")</f>
        <v>BITACORA OPERATIVA</v>
      </c>
      <c r="F71" s="47">
        <f ca="1">IFERROR(__xludf.DUMMYFUNCTION("""COMPUTED_VALUE"""),16)</f>
        <v>16</v>
      </c>
      <c r="G71" s="48">
        <f ca="1">IFERROR(__xludf.DUMMYFUNCTION("""COMPUTED_VALUE"""),3)</f>
        <v>3</v>
      </c>
      <c r="H71" s="48">
        <f ca="1">IFERROR(__xludf.DUMMYFUNCTION("""COMPUTED_VALUE"""),4)</f>
        <v>4</v>
      </c>
      <c r="I71" s="48">
        <f ca="1">IFERROR(__xludf.DUMMYFUNCTION("""COMPUTED_VALUE"""),1)</f>
        <v>1</v>
      </c>
      <c r="J71" s="48">
        <f ca="1">IFERROR(__xludf.DUMMYFUNCTION("""COMPUTED_VALUE"""),0)</f>
        <v>0</v>
      </c>
      <c r="K71" s="48">
        <f ca="1">IFERROR(__xludf.DUMMYFUNCTION("""COMPUTED_VALUE"""),0)</f>
        <v>0</v>
      </c>
      <c r="L71" s="48">
        <f ca="1">IFERROR(__xludf.DUMMYFUNCTION("""COMPUTED_VALUE"""),0)</f>
        <v>0</v>
      </c>
      <c r="M71" s="48">
        <f ca="1">IFERROR(__xludf.DUMMYFUNCTION("""COMPUTED_VALUE"""),0)</f>
        <v>0</v>
      </c>
      <c r="N71" s="48">
        <f ca="1">IFERROR(__xludf.DUMMYFUNCTION("""COMPUTED_VALUE"""),0)</f>
        <v>0</v>
      </c>
      <c r="O71" s="48">
        <f ca="1">IFERROR(__xludf.DUMMYFUNCTION("""COMPUTED_VALUE"""),0)</f>
        <v>0</v>
      </c>
      <c r="P71" s="48">
        <f ca="1">IFERROR(__xludf.DUMMYFUNCTION("""COMPUTED_VALUE"""),0)</f>
        <v>0</v>
      </c>
      <c r="Q71" s="48">
        <f ca="1">IFERROR(__xludf.DUMMYFUNCTION("""COMPUTED_VALUE"""),0)</f>
        <v>0</v>
      </c>
      <c r="R71" s="48">
        <f ca="1">IFERROR(__xludf.DUMMYFUNCTION("""COMPUTED_VALUE"""),0)</f>
        <v>0</v>
      </c>
      <c r="S71" s="48">
        <f ca="1">IFERROR(__xludf.DUMMYFUNCTION("""COMPUTED_VALUE"""),8)</f>
        <v>8</v>
      </c>
    </row>
    <row r="72" spans="1:19">
      <c r="A72" s="46" t="str">
        <f ca="1">IFERROR(__xludf.DUMMYFUNCTION("""COMPUTED_VALUE"""),"IMPERMEABILIZACIONES EN EDIFICIOS PÚBLICOS")</f>
        <v>IMPERMEABILIZACIONES EN EDIFICIOS PÚBLICOS</v>
      </c>
      <c r="B72" s="46">
        <f ca="1">IFERROR(__xludf.DUMMYFUNCTION("""COMPUTED_VALUE"""),30)</f>
        <v>30</v>
      </c>
      <c r="C72" s="46" t="str">
        <f ca="1">IFERROR(__xludf.DUMMYFUNCTION("""COMPUTED_VALUE"""),"IMPERMIABILIZACIONES")</f>
        <v>IMPERMIABILIZACIONES</v>
      </c>
      <c r="D72" s="46" t="str">
        <f ca="1">IFERROR(__xludf.DUMMYFUNCTION("""COMPUTED_VALUE"""),"ASCENDENTE")</f>
        <v>ASCENDENTE</v>
      </c>
      <c r="E72" s="46" t="str">
        <f ca="1">IFERROR(__xludf.DUMMYFUNCTION("""COMPUTED_VALUE"""),"BITACORA OPERATIVA")</f>
        <v>BITACORA OPERATIVA</v>
      </c>
      <c r="F72" s="47">
        <f ca="1">IFERROR(__xludf.DUMMYFUNCTION("""COMPUTED_VALUE"""),103.333333333333)</f>
        <v>103.333333333333</v>
      </c>
      <c r="G72" s="48">
        <f ca="1">IFERROR(__xludf.DUMMYFUNCTION("""COMPUTED_VALUE"""),16)</f>
        <v>16</v>
      </c>
      <c r="H72" s="48">
        <f ca="1">IFERROR(__xludf.DUMMYFUNCTION("""COMPUTED_VALUE"""),10)</f>
        <v>10</v>
      </c>
      <c r="I72" s="48">
        <f ca="1">IFERROR(__xludf.DUMMYFUNCTION("""COMPUTED_VALUE"""),5)</f>
        <v>5</v>
      </c>
      <c r="J72" s="48">
        <f ca="1">IFERROR(__xludf.DUMMYFUNCTION("""COMPUTED_VALUE"""),0)</f>
        <v>0</v>
      </c>
      <c r="K72" s="48">
        <f ca="1">IFERROR(__xludf.DUMMYFUNCTION("""COMPUTED_VALUE"""),0)</f>
        <v>0</v>
      </c>
      <c r="L72" s="48">
        <f ca="1">IFERROR(__xludf.DUMMYFUNCTION("""COMPUTED_VALUE"""),0)</f>
        <v>0</v>
      </c>
      <c r="M72" s="48">
        <f ca="1">IFERROR(__xludf.DUMMYFUNCTION("""COMPUTED_VALUE"""),0)</f>
        <v>0</v>
      </c>
      <c r="N72" s="48">
        <f ca="1">IFERROR(__xludf.DUMMYFUNCTION("""COMPUTED_VALUE"""),0)</f>
        <v>0</v>
      </c>
      <c r="O72" s="48">
        <f ca="1">IFERROR(__xludf.DUMMYFUNCTION("""COMPUTED_VALUE"""),0)</f>
        <v>0</v>
      </c>
      <c r="P72" s="48">
        <f ca="1">IFERROR(__xludf.DUMMYFUNCTION("""COMPUTED_VALUE"""),0)</f>
        <v>0</v>
      </c>
      <c r="Q72" s="48">
        <f ca="1">IFERROR(__xludf.DUMMYFUNCTION("""COMPUTED_VALUE"""),0)</f>
        <v>0</v>
      </c>
      <c r="R72" s="48">
        <f ca="1">IFERROR(__xludf.DUMMYFUNCTION("""COMPUTED_VALUE"""),0)</f>
        <v>0</v>
      </c>
      <c r="S72" s="48">
        <f ca="1">IFERROR(__xludf.DUMMYFUNCTION("""COMPUTED_VALUE"""),31)</f>
        <v>31</v>
      </c>
    </row>
    <row r="73" spans="1:19">
      <c r="A73" s="46" t="str">
        <f ca="1">IFERROR(__xludf.DUMMYFUNCTION("""COMPUTED_VALUE"""),"IMPERMEABILIZACIONES EN ESCUELAS")</f>
        <v>IMPERMEABILIZACIONES EN ESCUELAS</v>
      </c>
      <c r="B73" s="46">
        <f ca="1">IFERROR(__xludf.DUMMYFUNCTION("""COMPUTED_VALUE"""),15)</f>
        <v>15</v>
      </c>
      <c r="C73" s="46" t="str">
        <f ca="1">IFERROR(__xludf.DUMMYFUNCTION("""COMPUTED_VALUE"""),"ESCUELAS IMPERMIABILIZADAS")</f>
        <v>ESCUELAS IMPERMIABILIZADAS</v>
      </c>
      <c r="D73" s="46" t="str">
        <f ca="1">IFERROR(__xludf.DUMMYFUNCTION("""COMPUTED_VALUE"""),"ASCENDENTE")</f>
        <v>ASCENDENTE</v>
      </c>
      <c r="E73" s="46" t="str">
        <f ca="1">IFERROR(__xludf.DUMMYFUNCTION("""COMPUTED_VALUE"""),"BITACORA OPERATIVA")</f>
        <v>BITACORA OPERATIVA</v>
      </c>
      <c r="F73" s="47">
        <f ca="1">IFERROR(__xludf.DUMMYFUNCTION("""COMPUTED_VALUE"""),53.3333333333333)</f>
        <v>53.3333333333333</v>
      </c>
      <c r="G73" s="48">
        <f ca="1">IFERROR(__xludf.DUMMYFUNCTION("""COMPUTED_VALUE"""),0)</f>
        <v>0</v>
      </c>
      <c r="H73" s="48">
        <f ca="1">IFERROR(__xludf.DUMMYFUNCTION("""COMPUTED_VALUE"""),0)</f>
        <v>0</v>
      </c>
      <c r="I73" s="48">
        <f ca="1">IFERROR(__xludf.DUMMYFUNCTION("""COMPUTED_VALUE"""),0)</f>
        <v>0</v>
      </c>
      <c r="J73" s="48">
        <f ca="1">IFERROR(__xludf.DUMMYFUNCTION("""COMPUTED_VALUE"""),0)</f>
        <v>0</v>
      </c>
      <c r="K73" s="48">
        <f ca="1">IFERROR(__xludf.DUMMYFUNCTION("""COMPUTED_VALUE"""),0)</f>
        <v>0</v>
      </c>
      <c r="L73" s="48">
        <f ca="1">IFERROR(__xludf.DUMMYFUNCTION("""COMPUTED_VALUE"""),0)</f>
        <v>0</v>
      </c>
      <c r="M73" s="48">
        <f ca="1">IFERROR(__xludf.DUMMYFUNCTION("""COMPUTED_VALUE"""),3)</f>
        <v>3</v>
      </c>
      <c r="N73" s="48">
        <f ca="1">IFERROR(__xludf.DUMMYFUNCTION("""COMPUTED_VALUE"""),3)</f>
        <v>3</v>
      </c>
      <c r="O73" s="48">
        <f ca="1">IFERROR(__xludf.DUMMYFUNCTION("""COMPUTED_VALUE"""),2)</f>
        <v>2</v>
      </c>
      <c r="P73" s="48">
        <f ca="1">IFERROR(__xludf.DUMMYFUNCTION("""COMPUTED_VALUE"""),0)</f>
        <v>0</v>
      </c>
      <c r="Q73" s="48">
        <f ca="1">IFERROR(__xludf.DUMMYFUNCTION("""COMPUTED_VALUE"""),0)</f>
        <v>0</v>
      </c>
      <c r="R73" s="48">
        <f ca="1">IFERROR(__xludf.DUMMYFUNCTION("""COMPUTED_VALUE"""),0)</f>
        <v>0</v>
      </c>
      <c r="S73" s="48">
        <f ca="1">IFERROR(__xludf.DUMMYFUNCTION("""COMPUTED_VALUE"""),8)</f>
        <v>8</v>
      </c>
    </row>
    <row r="74" spans="1:19">
      <c r="A74" s="46" t="str">
        <f ca="1">IFERROR(__xludf.DUMMYFUNCTION("""COMPUTED_VALUE"""),"ACCIONES DE INTERVENCION CON PINTUR A UNIDADES DEPORTIVAS")</f>
        <v>ACCIONES DE INTERVENCION CON PINTUR A UNIDADES DEPORTIVAS</v>
      </c>
      <c r="B74" s="46">
        <f ca="1">IFERROR(__xludf.DUMMYFUNCTION("""COMPUTED_VALUE"""),15)</f>
        <v>15</v>
      </c>
      <c r="C74" s="46" t="str">
        <f ca="1">IFERROR(__xludf.DUMMYFUNCTION("""COMPUTED_VALUE"""),"INTERVENCIONES")</f>
        <v>INTERVENCIONES</v>
      </c>
      <c r="D74" s="46" t="str">
        <f ca="1">IFERROR(__xludf.DUMMYFUNCTION("""COMPUTED_VALUE"""),"ASCENDENTE")</f>
        <v>ASCENDENTE</v>
      </c>
      <c r="E74" s="46" t="str">
        <f ca="1">IFERROR(__xludf.DUMMYFUNCTION("""COMPUTED_VALUE"""),"BITACORA OPERATIVA")</f>
        <v>BITACORA OPERATIVA</v>
      </c>
      <c r="F74" s="47">
        <f ca="1">IFERROR(__xludf.DUMMYFUNCTION("""COMPUTED_VALUE"""),0)</f>
        <v>0</v>
      </c>
      <c r="G74" s="48">
        <f ca="1">IFERROR(__xludf.DUMMYFUNCTION("""COMPUTED_VALUE"""),0)</f>
        <v>0</v>
      </c>
      <c r="H74" s="48">
        <f ca="1">IFERROR(__xludf.DUMMYFUNCTION("""COMPUTED_VALUE"""),0)</f>
        <v>0</v>
      </c>
      <c r="I74" s="48">
        <f ca="1">IFERROR(__xludf.DUMMYFUNCTION("""COMPUTED_VALUE"""),0)</f>
        <v>0</v>
      </c>
      <c r="J74" s="48">
        <f ca="1">IFERROR(__xludf.DUMMYFUNCTION("""COMPUTED_VALUE"""),0)</f>
        <v>0</v>
      </c>
      <c r="K74" s="48">
        <f ca="1">IFERROR(__xludf.DUMMYFUNCTION("""COMPUTED_VALUE"""),0)</f>
        <v>0</v>
      </c>
      <c r="L74" s="48">
        <f ca="1">IFERROR(__xludf.DUMMYFUNCTION("""COMPUTED_VALUE"""),0)</f>
        <v>0</v>
      </c>
      <c r="M74" s="48">
        <f ca="1">IFERROR(__xludf.DUMMYFUNCTION("""COMPUTED_VALUE"""),0)</f>
        <v>0</v>
      </c>
      <c r="N74" s="48">
        <f ca="1">IFERROR(__xludf.DUMMYFUNCTION("""COMPUTED_VALUE"""),0)</f>
        <v>0</v>
      </c>
      <c r="O74" s="48">
        <f ca="1">IFERROR(__xludf.DUMMYFUNCTION("""COMPUTED_VALUE"""),0)</f>
        <v>0</v>
      </c>
      <c r="P74" s="48">
        <f ca="1">IFERROR(__xludf.DUMMYFUNCTION("""COMPUTED_VALUE"""),0)</f>
        <v>0</v>
      </c>
      <c r="Q74" s="48">
        <f ca="1">IFERROR(__xludf.DUMMYFUNCTION("""COMPUTED_VALUE"""),0)</f>
        <v>0</v>
      </c>
      <c r="R74" s="48">
        <f ca="1">IFERROR(__xludf.DUMMYFUNCTION("""COMPUTED_VALUE"""),0)</f>
        <v>0</v>
      </c>
      <c r="S74" s="48">
        <f ca="1">IFERROR(__xludf.DUMMYFUNCTION("""COMPUTED_VALUE"""),0)</f>
        <v>0</v>
      </c>
    </row>
    <row r="75" spans="1:19">
      <c r="A75" s="46" t="str">
        <f ca="1">IFERROR(__xludf.DUMMYFUNCTION("""COMPUTED_VALUE"""),"ACCIONES DE INTERVENCION CON PINTURA A OFICINAS Y FACHADAS DE EDIFICIOS PÚBLICOS")</f>
        <v>ACCIONES DE INTERVENCION CON PINTURA A OFICINAS Y FACHADAS DE EDIFICIOS PÚBLICOS</v>
      </c>
      <c r="B75" s="46">
        <f ca="1">IFERROR(__xludf.DUMMYFUNCTION("""COMPUTED_VALUE"""),12)</f>
        <v>12</v>
      </c>
      <c r="C75" s="46" t="str">
        <f ca="1">IFERROR(__xludf.DUMMYFUNCTION("""COMPUTED_VALUE"""),"INTERVENCIONES")</f>
        <v>INTERVENCIONES</v>
      </c>
      <c r="D75" s="46" t="str">
        <f ca="1">IFERROR(__xludf.DUMMYFUNCTION("""COMPUTED_VALUE"""),"ASCENDENTE")</f>
        <v>ASCENDENTE</v>
      </c>
      <c r="E75" s="46" t="str">
        <f ca="1">IFERROR(__xludf.DUMMYFUNCTION("""COMPUTED_VALUE"""),"BITACORA OPERATIVA")</f>
        <v>BITACORA OPERATIVA</v>
      </c>
      <c r="F75" s="47">
        <f ca="1">IFERROR(__xludf.DUMMYFUNCTION("""COMPUTED_VALUE"""),266.666666666666)</f>
        <v>266.666666666666</v>
      </c>
      <c r="G75" s="48">
        <f ca="1">IFERROR(__xludf.DUMMYFUNCTION("""COMPUTED_VALUE"""),1)</f>
        <v>1</v>
      </c>
      <c r="H75" s="48">
        <f ca="1">IFERROR(__xludf.DUMMYFUNCTION("""COMPUTED_VALUE"""),1)</f>
        <v>1</v>
      </c>
      <c r="I75" s="48">
        <f ca="1">IFERROR(__xludf.DUMMYFUNCTION("""COMPUTED_VALUE"""),3)</f>
        <v>3</v>
      </c>
      <c r="J75" s="48">
        <f ca="1">IFERROR(__xludf.DUMMYFUNCTION("""COMPUTED_VALUE"""),1)</f>
        <v>1</v>
      </c>
      <c r="K75" s="48">
        <f ca="1">IFERROR(__xludf.DUMMYFUNCTION("""COMPUTED_VALUE"""),0)</f>
        <v>0</v>
      </c>
      <c r="L75" s="48">
        <f ca="1">IFERROR(__xludf.DUMMYFUNCTION("""COMPUTED_VALUE"""),1)</f>
        <v>1</v>
      </c>
      <c r="M75" s="48">
        <f ca="1">IFERROR(__xludf.DUMMYFUNCTION("""COMPUTED_VALUE"""),2)</f>
        <v>2</v>
      </c>
      <c r="N75" s="48">
        <f ca="1">IFERROR(__xludf.DUMMYFUNCTION("""COMPUTED_VALUE"""),1)</f>
        <v>1</v>
      </c>
      <c r="O75" s="48">
        <f ca="1">IFERROR(__xludf.DUMMYFUNCTION("""COMPUTED_VALUE"""),0)</f>
        <v>0</v>
      </c>
      <c r="P75" s="48">
        <f ca="1">IFERROR(__xludf.DUMMYFUNCTION("""COMPUTED_VALUE"""),0)</f>
        <v>0</v>
      </c>
      <c r="Q75" s="48">
        <f ca="1">IFERROR(__xludf.DUMMYFUNCTION("""COMPUTED_VALUE"""),13)</f>
        <v>13</v>
      </c>
      <c r="R75" s="48">
        <f ca="1">IFERROR(__xludf.DUMMYFUNCTION("""COMPUTED_VALUE"""),9)</f>
        <v>9</v>
      </c>
      <c r="S75" s="48">
        <f ca="1">IFERROR(__xludf.DUMMYFUNCTION("""COMPUTED_VALUE"""),32)</f>
        <v>32</v>
      </c>
    </row>
    <row r="76" spans="1:19">
      <c r="A76" s="46" t="str">
        <f ca="1">IFERROR(__xludf.DUMMYFUNCTION("""COMPUTED_VALUE"""),"ACCIONES DE INTERVENCION CON PINTURA PLAZAS PÚBLICAS")</f>
        <v>ACCIONES DE INTERVENCION CON PINTURA PLAZAS PÚBLICAS</v>
      </c>
      <c r="B76" s="46">
        <f ca="1">IFERROR(__xludf.DUMMYFUNCTION("""COMPUTED_VALUE"""),60)</f>
        <v>60</v>
      </c>
      <c r="C76" s="46" t="str">
        <f ca="1">IFERROR(__xludf.DUMMYFUNCTION("""COMPUTED_VALUE"""),"INTERVENCIONES")</f>
        <v>INTERVENCIONES</v>
      </c>
      <c r="D76" s="46" t="str">
        <f ca="1">IFERROR(__xludf.DUMMYFUNCTION("""COMPUTED_VALUE"""),"ASCENDENTE")</f>
        <v>ASCENDENTE</v>
      </c>
      <c r="E76" s="46" t="str">
        <f ca="1">IFERROR(__xludf.DUMMYFUNCTION("""COMPUTED_VALUE"""),"BITACORA OPERATIVA")</f>
        <v>BITACORA OPERATIVA</v>
      </c>
      <c r="F76" s="47">
        <f ca="1">IFERROR(__xludf.DUMMYFUNCTION("""COMPUTED_VALUE"""),153.333333333333)</f>
        <v>153.333333333333</v>
      </c>
      <c r="G76" s="48">
        <f ca="1">IFERROR(__xludf.DUMMYFUNCTION("""COMPUTED_VALUE"""),30)</f>
        <v>30</v>
      </c>
      <c r="H76" s="48">
        <f ca="1">IFERROR(__xludf.DUMMYFUNCTION("""COMPUTED_VALUE"""),16)</f>
        <v>16</v>
      </c>
      <c r="I76" s="48">
        <f ca="1">IFERROR(__xludf.DUMMYFUNCTION("""COMPUTED_VALUE"""),5)</f>
        <v>5</v>
      </c>
      <c r="J76" s="48">
        <f ca="1">IFERROR(__xludf.DUMMYFUNCTION("""COMPUTED_VALUE"""),3)</f>
        <v>3</v>
      </c>
      <c r="K76" s="48">
        <f ca="1">IFERROR(__xludf.DUMMYFUNCTION("""COMPUTED_VALUE"""),6)</f>
        <v>6</v>
      </c>
      <c r="L76" s="48">
        <f ca="1">IFERROR(__xludf.DUMMYFUNCTION("""COMPUTED_VALUE"""),4)</f>
        <v>4</v>
      </c>
      <c r="M76" s="48">
        <f ca="1">IFERROR(__xludf.DUMMYFUNCTION("""COMPUTED_VALUE"""),0)</f>
        <v>0</v>
      </c>
      <c r="N76" s="48">
        <f ca="1">IFERROR(__xludf.DUMMYFUNCTION("""COMPUTED_VALUE"""),7)</f>
        <v>7</v>
      </c>
      <c r="O76" s="48">
        <f ca="1">IFERROR(__xludf.DUMMYFUNCTION("""COMPUTED_VALUE"""),4)</f>
        <v>4</v>
      </c>
      <c r="P76" s="48">
        <f ca="1">IFERROR(__xludf.DUMMYFUNCTION("""COMPUTED_VALUE"""),8)</f>
        <v>8</v>
      </c>
      <c r="Q76" s="48">
        <f ca="1">IFERROR(__xludf.DUMMYFUNCTION("""COMPUTED_VALUE"""),7)</f>
        <v>7</v>
      </c>
      <c r="R76" s="48">
        <f ca="1">IFERROR(__xludf.DUMMYFUNCTION("""COMPUTED_VALUE"""),2)</f>
        <v>2</v>
      </c>
      <c r="S76" s="48">
        <f ca="1">IFERROR(__xludf.DUMMYFUNCTION("""COMPUTED_VALUE"""),92)</f>
        <v>92</v>
      </c>
    </row>
    <row r="77" spans="1:19">
      <c r="A77" s="46" t="str">
        <f ca="1">IFERROR(__xludf.DUMMYFUNCTION("""COMPUTED_VALUE"""),"ACCIONES DE INTERVENCION CON PINTURA A  PARQUES")</f>
        <v>ACCIONES DE INTERVENCION CON PINTURA A  PARQUES</v>
      </c>
      <c r="B77" s="46">
        <f ca="1">IFERROR(__xludf.DUMMYFUNCTION("""COMPUTED_VALUE"""),73)</f>
        <v>73</v>
      </c>
      <c r="C77" s="46" t="str">
        <f ca="1">IFERROR(__xludf.DUMMYFUNCTION("""COMPUTED_VALUE"""),"INTERVENCIONES")</f>
        <v>INTERVENCIONES</v>
      </c>
      <c r="D77" s="46" t="str">
        <f ca="1">IFERROR(__xludf.DUMMYFUNCTION("""COMPUTED_VALUE"""),"ASCENDENTE")</f>
        <v>ASCENDENTE</v>
      </c>
      <c r="E77" s="46" t="str">
        <f ca="1">IFERROR(__xludf.DUMMYFUNCTION("""COMPUTED_VALUE"""),"BITACORA OPERATIVA")</f>
        <v>BITACORA OPERATIVA</v>
      </c>
      <c r="F77" s="47">
        <f ca="1">IFERROR(__xludf.DUMMYFUNCTION("""COMPUTED_VALUE"""),35.6164383561643)</f>
        <v>35.616438356164302</v>
      </c>
      <c r="G77" s="48">
        <f ca="1">IFERROR(__xludf.DUMMYFUNCTION("""COMPUTED_VALUE"""),0)</f>
        <v>0</v>
      </c>
      <c r="H77" s="48">
        <f ca="1">IFERROR(__xludf.DUMMYFUNCTION("""COMPUTED_VALUE"""),2)</f>
        <v>2</v>
      </c>
      <c r="I77" s="48">
        <f ca="1">IFERROR(__xludf.DUMMYFUNCTION("""COMPUTED_VALUE"""),4)</f>
        <v>4</v>
      </c>
      <c r="J77" s="48">
        <f ca="1">IFERROR(__xludf.DUMMYFUNCTION("""COMPUTED_VALUE"""),3)</f>
        <v>3</v>
      </c>
      <c r="K77" s="48">
        <f ca="1">IFERROR(__xludf.DUMMYFUNCTION("""COMPUTED_VALUE"""),7)</f>
        <v>7</v>
      </c>
      <c r="L77" s="48">
        <f ca="1">IFERROR(__xludf.DUMMYFUNCTION("""COMPUTED_VALUE"""),4)</f>
        <v>4</v>
      </c>
      <c r="M77" s="48">
        <f ca="1">IFERROR(__xludf.DUMMYFUNCTION("""COMPUTED_VALUE"""),2)</f>
        <v>2</v>
      </c>
      <c r="N77" s="48">
        <f ca="1">IFERROR(__xludf.DUMMYFUNCTION("""COMPUTED_VALUE"""),1)</f>
        <v>1</v>
      </c>
      <c r="O77" s="48">
        <f ca="1">IFERROR(__xludf.DUMMYFUNCTION("""COMPUTED_VALUE"""),1)</f>
        <v>1</v>
      </c>
      <c r="P77" s="48">
        <f ca="1">IFERROR(__xludf.DUMMYFUNCTION("""COMPUTED_VALUE"""),2)</f>
        <v>2</v>
      </c>
      <c r="Q77" s="48">
        <f ca="1">IFERROR(__xludf.DUMMYFUNCTION("""COMPUTED_VALUE"""),0)</f>
        <v>0</v>
      </c>
      <c r="R77" s="48">
        <f ca="1">IFERROR(__xludf.DUMMYFUNCTION("""COMPUTED_VALUE"""),0)</f>
        <v>0</v>
      </c>
      <c r="S77" s="48">
        <f ca="1">IFERROR(__xludf.DUMMYFUNCTION("""COMPUTED_VALUE"""),26)</f>
        <v>26</v>
      </c>
    </row>
    <row r="78" spans="1:19">
      <c r="A78" s="46" t="str">
        <f ca="1">IFERROR(__xludf.DUMMYFUNCTION("""COMPUTED_VALUE"""),"ACCIONES DE INTERVENCION CON PINTUR A A ESCUELAS")</f>
        <v>ACCIONES DE INTERVENCION CON PINTUR A A ESCUELAS</v>
      </c>
      <c r="B78" s="46">
        <f ca="1">IFERROR(__xludf.DUMMYFUNCTION("""COMPUTED_VALUE"""),15)</f>
        <v>15</v>
      </c>
      <c r="C78" s="46" t="str">
        <f ca="1">IFERROR(__xludf.DUMMYFUNCTION("""COMPUTED_VALUE"""),"INTERVENCIONES")</f>
        <v>INTERVENCIONES</v>
      </c>
      <c r="D78" s="46" t="str">
        <f ca="1">IFERROR(__xludf.DUMMYFUNCTION("""COMPUTED_VALUE"""),"ASCENDENTE")</f>
        <v>ASCENDENTE</v>
      </c>
      <c r="E78" s="46" t="str">
        <f ca="1">IFERROR(__xludf.DUMMYFUNCTION("""COMPUTED_VALUE"""),"BITACORA OPERATIVA")</f>
        <v>BITACORA OPERATIVA</v>
      </c>
      <c r="F78" s="47">
        <f ca="1">IFERROR(__xludf.DUMMYFUNCTION("""COMPUTED_VALUE"""),20)</f>
        <v>20</v>
      </c>
      <c r="G78" s="48">
        <f ca="1">IFERROR(__xludf.DUMMYFUNCTION("""COMPUTED_VALUE"""),0)</f>
        <v>0</v>
      </c>
      <c r="H78" s="48">
        <f ca="1">IFERROR(__xludf.DUMMYFUNCTION("""COMPUTED_VALUE"""),0)</f>
        <v>0</v>
      </c>
      <c r="I78" s="48">
        <f ca="1">IFERROR(__xludf.DUMMYFUNCTION("""COMPUTED_VALUE"""),0)</f>
        <v>0</v>
      </c>
      <c r="J78" s="48">
        <f ca="1">IFERROR(__xludf.DUMMYFUNCTION("""COMPUTED_VALUE"""),0)</f>
        <v>0</v>
      </c>
      <c r="K78" s="48">
        <f ca="1">IFERROR(__xludf.DUMMYFUNCTION("""COMPUTED_VALUE"""),0)</f>
        <v>0</v>
      </c>
      <c r="L78" s="48">
        <f ca="1">IFERROR(__xludf.DUMMYFUNCTION("""COMPUTED_VALUE"""),0)</f>
        <v>0</v>
      </c>
      <c r="M78" s="48">
        <f ca="1">IFERROR(__xludf.DUMMYFUNCTION("""COMPUTED_VALUE"""),0)</f>
        <v>0</v>
      </c>
      <c r="N78" s="48">
        <f ca="1">IFERROR(__xludf.DUMMYFUNCTION("""COMPUTED_VALUE"""),0)</f>
        <v>0</v>
      </c>
      <c r="O78" s="48">
        <f ca="1">IFERROR(__xludf.DUMMYFUNCTION("""COMPUTED_VALUE"""),0)</f>
        <v>0</v>
      </c>
      <c r="P78" s="48">
        <f ca="1">IFERROR(__xludf.DUMMYFUNCTION("""COMPUTED_VALUE"""),0)</f>
        <v>0</v>
      </c>
      <c r="Q78" s="48">
        <f ca="1">IFERROR(__xludf.DUMMYFUNCTION("""COMPUTED_VALUE"""),3)</f>
        <v>3</v>
      </c>
      <c r="R78" s="48">
        <f ca="1">IFERROR(__xludf.DUMMYFUNCTION("""COMPUTED_VALUE"""),0)</f>
        <v>0</v>
      </c>
      <c r="S78" s="48">
        <f ca="1">IFERROR(__xludf.DUMMYFUNCTION("""COMPUTED_VALUE"""),3)</f>
        <v>3</v>
      </c>
    </row>
    <row r="79" spans="1:19">
      <c r="A79" s="46" t="str">
        <f ca="1">IFERROR(__xludf.DUMMYFUNCTION("""COMPUTED_VALUE"""),"PINTURA (M2) APLICADA")</f>
        <v>PINTURA (M2) APLICADA</v>
      </c>
      <c r="B79" s="46">
        <f ca="1">IFERROR(__xludf.DUMMYFUNCTION("""COMPUTED_VALUE"""),1000)</f>
        <v>1000</v>
      </c>
      <c r="C79" s="46" t="str">
        <f ca="1">IFERROR(__xludf.DUMMYFUNCTION("""COMPUTED_VALUE"""),"M2 PINTURA APLICADA")</f>
        <v>M2 PINTURA APLICADA</v>
      </c>
      <c r="D79" s="46" t="str">
        <f ca="1">IFERROR(__xludf.DUMMYFUNCTION("""COMPUTED_VALUE"""),"ASCENDENTE")</f>
        <v>ASCENDENTE</v>
      </c>
      <c r="E79" s="46" t="str">
        <f ca="1">IFERROR(__xludf.DUMMYFUNCTION("""COMPUTED_VALUE"""),"BITACORA OPERATIVA")</f>
        <v>BITACORA OPERATIVA</v>
      </c>
      <c r="F79" s="47">
        <f ca="1">IFERROR(__xludf.DUMMYFUNCTION("""COMPUTED_VALUE"""),0.4)</f>
        <v>0.4</v>
      </c>
      <c r="G79" s="48">
        <f ca="1">IFERROR(__xludf.DUMMYFUNCTION("""COMPUTED_VALUE"""),0)</f>
        <v>0</v>
      </c>
      <c r="H79" s="48">
        <f ca="1">IFERROR(__xludf.DUMMYFUNCTION("""COMPUTED_VALUE"""),2)</f>
        <v>2</v>
      </c>
      <c r="I79" s="48">
        <f ca="1">IFERROR(__xludf.DUMMYFUNCTION("""COMPUTED_VALUE"""),0)</f>
        <v>0</v>
      </c>
      <c r="J79" s="48">
        <f ca="1">IFERROR(__xludf.DUMMYFUNCTION("""COMPUTED_VALUE"""),0)</f>
        <v>0</v>
      </c>
      <c r="K79" s="48">
        <f ca="1">IFERROR(__xludf.DUMMYFUNCTION("""COMPUTED_VALUE"""),0)</f>
        <v>0</v>
      </c>
      <c r="L79" s="48">
        <f ca="1">IFERROR(__xludf.DUMMYFUNCTION("""COMPUTED_VALUE"""),0)</f>
        <v>0</v>
      </c>
      <c r="M79" s="48">
        <f ca="1">IFERROR(__xludf.DUMMYFUNCTION("""COMPUTED_VALUE"""),0)</f>
        <v>0</v>
      </c>
      <c r="N79" s="48">
        <f ca="1">IFERROR(__xludf.DUMMYFUNCTION("""COMPUTED_VALUE"""),0)</f>
        <v>0</v>
      </c>
      <c r="O79" s="48">
        <f ca="1">IFERROR(__xludf.DUMMYFUNCTION("""COMPUTED_VALUE"""),0)</f>
        <v>0</v>
      </c>
      <c r="P79" s="48">
        <f ca="1">IFERROR(__xludf.DUMMYFUNCTION("""COMPUTED_VALUE"""),1)</f>
        <v>1</v>
      </c>
      <c r="Q79" s="48">
        <f ca="1">IFERROR(__xludf.DUMMYFUNCTION("""COMPUTED_VALUE"""),0)</f>
        <v>0</v>
      </c>
      <c r="R79" s="48">
        <f ca="1">IFERROR(__xludf.DUMMYFUNCTION("""COMPUTED_VALUE"""),1)</f>
        <v>1</v>
      </c>
      <c r="S79" s="48">
        <f ca="1">IFERROR(__xludf.DUMMYFUNCTION("""COMPUTED_VALUE"""),4)</f>
        <v>4</v>
      </c>
    </row>
    <row r="80" spans="1:19">
      <c r="A80" s="46" t="str">
        <f ca="1">IFERROR(__xludf.DUMMYFUNCTION("""COMPUTED_VALUE"""),"ACCIONES DE MANTENIMIENTO A UNIDADES DEPORTIVAS Y CAMPOS DE FÚTBOL EN LA CABECERA MUNICIPAL")</f>
        <v>ACCIONES DE MANTENIMIENTO A UNIDADES DEPORTIVAS Y CAMPOS DE FÚTBOL EN LA CABECERA MUNICIPAL</v>
      </c>
      <c r="B80" s="46">
        <f ca="1">IFERROR(__xludf.DUMMYFUNCTION("""COMPUTED_VALUE"""),120)</f>
        <v>120</v>
      </c>
      <c r="C80" s="46" t="str">
        <f ca="1">IFERROR(__xludf.DUMMYFUNCTION("""COMPUTED_VALUE"""),"ACCIONES DE MANTENIMIENTO")</f>
        <v>ACCIONES DE MANTENIMIENTO</v>
      </c>
      <c r="D80" s="46" t="str">
        <f ca="1">IFERROR(__xludf.DUMMYFUNCTION("""COMPUTED_VALUE"""),"ASCENDENTE")</f>
        <v>ASCENDENTE</v>
      </c>
      <c r="E80" s="46" t="str">
        <f ca="1">IFERROR(__xludf.DUMMYFUNCTION("""COMPUTED_VALUE"""),"BITACORA OPERATIVA")</f>
        <v>BITACORA OPERATIVA</v>
      </c>
      <c r="F80" s="47">
        <f ca="1">IFERROR(__xludf.DUMMYFUNCTION("""COMPUTED_VALUE"""),9833.33333333333)</f>
        <v>9833.3333333333303</v>
      </c>
      <c r="G80" s="48">
        <f ca="1">IFERROR(__xludf.DUMMYFUNCTION("""COMPUTED_VALUE"""),5000)</f>
        <v>5000</v>
      </c>
      <c r="H80" s="48">
        <f ca="1">IFERROR(__xludf.DUMMYFUNCTION("""COMPUTED_VALUE"""),4000)</f>
        <v>4000</v>
      </c>
      <c r="I80" s="48">
        <f ca="1">IFERROR(__xludf.DUMMYFUNCTION("""COMPUTED_VALUE"""),2800)</f>
        <v>2800</v>
      </c>
      <c r="J80" s="48">
        <f ca="1">IFERROR(__xludf.DUMMYFUNCTION("""COMPUTED_VALUE"""),0)</f>
        <v>0</v>
      </c>
      <c r="K80" s="48">
        <f ca="1">IFERROR(__xludf.DUMMYFUNCTION("""COMPUTED_VALUE"""),0)</f>
        <v>0</v>
      </c>
      <c r="L80" s="48">
        <f ca="1">IFERROR(__xludf.DUMMYFUNCTION("""COMPUTED_VALUE"""),0)</f>
        <v>0</v>
      </c>
      <c r="M80" s="48">
        <f ca="1">IFERROR(__xludf.DUMMYFUNCTION("""COMPUTED_VALUE"""),0)</f>
        <v>0</v>
      </c>
      <c r="N80" s="48">
        <f ca="1">IFERROR(__xludf.DUMMYFUNCTION("""COMPUTED_VALUE"""),0)</f>
        <v>0</v>
      </c>
      <c r="O80" s="48">
        <f ca="1">IFERROR(__xludf.DUMMYFUNCTION("""COMPUTED_VALUE"""),0)</f>
        <v>0</v>
      </c>
      <c r="P80" s="48">
        <f ca="1">IFERROR(__xludf.DUMMYFUNCTION("""COMPUTED_VALUE"""),0)</f>
        <v>0</v>
      </c>
      <c r="Q80" s="48">
        <f ca="1">IFERROR(__xludf.DUMMYFUNCTION("""COMPUTED_VALUE"""),0)</f>
        <v>0</v>
      </c>
      <c r="R80" s="48">
        <f ca="1">IFERROR(__xludf.DUMMYFUNCTION("""COMPUTED_VALUE"""),0)</f>
        <v>0</v>
      </c>
      <c r="S80" s="48">
        <f ca="1">IFERROR(__xludf.DUMMYFUNCTION("""COMPUTED_VALUE"""),11800)</f>
        <v>11800</v>
      </c>
    </row>
    <row r="81" spans="1:19">
      <c r="A81" s="46" t="str">
        <f ca="1">IFERROR(__xludf.DUMMYFUNCTION("""COMPUTED_VALUE"""),"ACCIONES DE MANTENIMIENTO A PLAZAS PÚBLICAS")</f>
        <v>ACCIONES DE MANTENIMIENTO A PLAZAS PÚBLICAS</v>
      </c>
      <c r="B81" s="46">
        <f ca="1">IFERROR(__xludf.DUMMYFUNCTION("""COMPUTED_VALUE"""),1380)</f>
        <v>1380</v>
      </c>
      <c r="C81" s="46" t="str">
        <f ca="1">IFERROR(__xludf.DUMMYFUNCTION("""COMPUTED_VALUE"""),"ACCIONES DE MANTENIMIENTO")</f>
        <v>ACCIONES DE MANTENIMIENTO</v>
      </c>
      <c r="D81" s="46" t="str">
        <f ca="1">IFERROR(__xludf.DUMMYFUNCTION("""COMPUTED_VALUE"""),"ASCENDENTE")</f>
        <v>ASCENDENTE</v>
      </c>
      <c r="E81" s="46" t="str">
        <f ca="1">IFERROR(__xludf.DUMMYFUNCTION("""COMPUTED_VALUE"""),"BITACORA OPERATIVA")</f>
        <v>BITACORA OPERATIVA</v>
      </c>
      <c r="F81" s="47">
        <f ca="1">IFERROR(__xludf.DUMMYFUNCTION("""COMPUTED_VALUE"""),75.2173913043478)</f>
        <v>75.2173913043478</v>
      </c>
      <c r="G81" s="48">
        <f ca="1">IFERROR(__xludf.DUMMYFUNCTION("""COMPUTED_VALUE"""),0)</f>
        <v>0</v>
      </c>
      <c r="H81" s="48">
        <f ca="1">IFERROR(__xludf.DUMMYFUNCTION("""COMPUTED_VALUE"""),0)</f>
        <v>0</v>
      </c>
      <c r="I81" s="48">
        <f ca="1">IFERROR(__xludf.DUMMYFUNCTION("""COMPUTED_VALUE"""),0)</f>
        <v>0</v>
      </c>
      <c r="J81" s="48">
        <f ca="1">IFERROR(__xludf.DUMMYFUNCTION("""COMPUTED_VALUE"""),163)</f>
        <v>163</v>
      </c>
      <c r="K81" s="48">
        <f ca="1">IFERROR(__xludf.DUMMYFUNCTION("""COMPUTED_VALUE"""),167)</f>
        <v>167</v>
      </c>
      <c r="L81" s="48">
        <f ca="1">IFERROR(__xludf.DUMMYFUNCTION("""COMPUTED_VALUE"""),190)</f>
        <v>190</v>
      </c>
      <c r="M81" s="48">
        <f ca="1">IFERROR(__xludf.DUMMYFUNCTION("""COMPUTED_VALUE"""),105)</f>
        <v>105</v>
      </c>
      <c r="N81" s="48">
        <f ca="1">IFERROR(__xludf.DUMMYFUNCTION("""COMPUTED_VALUE"""),200)</f>
        <v>200</v>
      </c>
      <c r="O81" s="48">
        <f ca="1">IFERROR(__xludf.DUMMYFUNCTION("""COMPUTED_VALUE"""),210)</f>
        <v>210</v>
      </c>
      <c r="P81" s="48">
        <f ca="1">IFERROR(__xludf.DUMMYFUNCTION("""COMPUTED_VALUE"""),0)</f>
        <v>0</v>
      </c>
      <c r="Q81" s="48">
        <f ca="1">IFERROR(__xludf.DUMMYFUNCTION("""COMPUTED_VALUE"""),1)</f>
        <v>1</v>
      </c>
      <c r="R81" s="48">
        <f ca="1">IFERROR(__xludf.DUMMYFUNCTION("""COMPUTED_VALUE"""),2)</f>
        <v>2</v>
      </c>
      <c r="S81" s="48">
        <f ca="1">IFERROR(__xludf.DUMMYFUNCTION("""COMPUTED_VALUE"""),1038)</f>
        <v>1038</v>
      </c>
    </row>
    <row r="82" spans="1:19">
      <c r="A82" s="46" t="str">
        <f ca="1">IFERROR(__xludf.DUMMYFUNCTION("""COMPUTED_VALUE"""),"ACCIONES DE MANTENIMIENTO A EDIFICIOS PÚBLICOS")</f>
        <v>ACCIONES DE MANTENIMIENTO A EDIFICIOS PÚBLICOS</v>
      </c>
      <c r="B82" s="46">
        <f ca="1">IFERROR(__xludf.DUMMYFUNCTION("""COMPUTED_VALUE"""),12)</f>
        <v>12</v>
      </c>
      <c r="C82" s="46" t="str">
        <f ca="1">IFERROR(__xludf.DUMMYFUNCTION("""COMPUTED_VALUE"""),"ACCIONES DE MANTENIMIENTO")</f>
        <v>ACCIONES DE MANTENIMIENTO</v>
      </c>
      <c r="D82" s="46" t="str">
        <f ca="1">IFERROR(__xludf.DUMMYFUNCTION("""COMPUTED_VALUE"""),"ASCENDENTE")</f>
        <v>ASCENDENTE</v>
      </c>
      <c r="E82" s="46" t="str">
        <f ca="1">IFERROR(__xludf.DUMMYFUNCTION("""COMPUTED_VALUE"""),"BITACORA OPERATIVA")</f>
        <v>BITACORA OPERATIVA</v>
      </c>
      <c r="F82" s="47">
        <f ca="1">IFERROR(__xludf.DUMMYFUNCTION("""COMPUTED_VALUE"""),41.6666666666666)</f>
        <v>41.6666666666666</v>
      </c>
      <c r="G82" s="48">
        <f ca="1">IFERROR(__xludf.DUMMYFUNCTION("""COMPUTED_VALUE"""),0)</f>
        <v>0</v>
      </c>
      <c r="H82" s="48">
        <f ca="1">IFERROR(__xludf.DUMMYFUNCTION("""COMPUTED_VALUE"""),0)</f>
        <v>0</v>
      </c>
      <c r="I82" s="48">
        <f ca="1">IFERROR(__xludf.DUMMYFUNCTION("""COMPUTED_VALUE"""),1)</f>
        <v>1</v>
      </c>
      <c r="J82" s="48">
        <f ca="1">IFERROR(__xludf.DUMMYFUNCTION("""COMPUTED_VALUE"""),0)</f>
        <v>0</v>
      </c>
      <c r="K82" s="48">
        <f ca="1">IFERROR(__xludf.DUMMYFUNCTION("""COMPUTED_VALUE"""),0)</f>
        <v>0</v>
      </c>
      <c r="L82" s="48">
        <f ca="1">IFERROR(__xludf.DUMMYFUNCTION("""COMPUTED_VALUE"""),0)</f>
        <v>0</v>
      </c>
      <c r="M82" s="48">
        <f ca="1">IFERROR(__xludf.DUMMYFUNCTION("""COMPUTED_VALUE"""),2)</f>
        <v>2</v>
      </c>
      <c r="N82" s="48">
        <f ca="1">IFERROR(__xludf.DUMMYFUNCTION("""COMPUTED_VALUE"""),1)</f>
        <v>1</v>
      </c>
      <c r="O82" s="48">
        <f ca="1">IFERROR(__xludf.DUMMYFUNCTION("""COMPUTED_VALUE"""),1)</f>
        <v>1</v>
      </c>
      <c r="P82" s="48">
        <f ca="1">IFERROR(__xludf.DUMMYFUNCTION("""COMPUTED_VALUE"""),0)</f>
        <v>0</v>
      </c>
      <c r="Q82" s="48">
        <f ca="1">IFERROR(__xludf.DUMMYFUNCTION("""COMPUTED_VALUE"""),0)</f>
        <v>0</v>
      </c>
      <c r="R82" s="48">
        <f ca="1">IFERROR(__xludf.DUMMYFUNCTION("""COMPUTED_VALUE"""),0)</f>
        <v>0</v>
      </c>
      <c r="S82" s="48">
        <f ca="1">IFERROR(__xludf.DUMMYFUNCTION("""COMPUTED_VALUE"""),5)</f>
        <v>5</v>
      </c>
    </row>
    <row r="83" spans="1:19">
      <c r="A83" s="46" t="str">
        <f ca="1">IFERROR(__xludf.DUMMYFUNCTION("""COMPUTED_VALUE"""),"SACRIFICIO HUMANITARIO DE PERROS Y GATOS")</f>
        <v>SACRIFICIO HUMANITARIO DE PERROS Y GATOS</v>
      </c>
      <c r="B83" s="46">
        <f ca="1">IFERROR(__xludf.DUMMYFUNCTION("""COMPUTED_VALUE"""),60)</f>
        <v>60</v>
      </c>
      <c r="C83" s="46" t="str">
        <f ca="1">IFERROR(__xludf.DUMMYFUNCTION("""COMPUTED_VALUE"""),"SACRIFICIOS")</f>
        <v>SACRIFICIOS</v>
      </c>
      <c r="D83" s="46" t="str">
        <f ca="1">IFERROR(__xludf.DUMMYFUNCTION("""COMPUTED_VALUE"""),"ASCENDENTE")</f>
        <v>ASCENDENTE</v>
      </c>
      <c r="E83" s="46" t="str">
        <f ca="1">IFERROR(__xludf.DUMMYFUNCTION("""COMPUTED_VALUE"""),"BITACORA OPERATIVA")</f>
        <v>BITACORA OPERATIVA</v>
      </c>
      <c r="F83" s="47">
        <f ca="1">IFERROR(__xludf.DUMMYFUNCTION("""COMPUTED_VALUE"""),26.6666666666666)</f>
        <v>26.6666666666666</v>
      </c>
      <c r="G83" s="48">
        <f ca="1">IFERROR(__xludf.DUMMYFUNCTION("""COMPUTED_VALUE"""),2)</f>
        <v>2</v>
      </c>
      <c r="H83" s="48">
        <f ca="1">IFERROR(__xludf.DUMMYFUNCTION("""COMPUTED_VALUE"""),0)</f>
        <v>0</v>
      </c>
      <c r="I83" s="48">
        <f ca="1">IFERROR(__xludf.DUMMYFUNCTION("""COMPUTED_VALUE"""),3)</f>
        <v>3</v>
      </c>
      <c r="J83" s="48">
        <f ca="1">IFERROR(__xludf.DUMMYFUNCTION("""COMPUTED_VALUE"""),0)</f>
        <v>0</v>
      </c>
      <c r="K83" s="48">
        <f ca="1">IFERROR(__xludf.DUMMYFUNCTION("""COMPUTED_VALUE"""),0)</f>
        <v>0</v>
      </c>
      <c r="L83" s="48">
        <f ca="1">IFERROR(__xludf.DUMMYFUNCTION("""COMPUTED_VALUE"""),0)</f>
        <v>0</v>
      </c>
      <c r="M83" s="48">
        <f ca="1">IFERROR(__xludf.DUMMYFUNCTION("""COMPUTED_VALUE"""),0)</f>
        <v>0</v>
      </c>
      <c r="N83" s="48">
        <f ca="1">IFERROR(__xludf.DUMMYFUNCTION("""COMPUTED_VALUE"""),7)</f>
        <v>7</v>
      </c>
      <c r="O83" s="48">
        <f ca="1">IFERROR(__xludf.DUMMYFUNCTION("""COMPUTED_VALUE"""),4)</f>
        <v>4</v>
      </c>
      <c r="P83" s="48">
        <f ca="1">IFERROR(__xludf.DUMMYFUNCTION("""COMPUTED_VALUE"""),0)</f>
        <v>0</v>
      </c>
      <c r="Q83" s="48">
        <f ca="1">IFERROR(__xludf.DUMMYFUNCTION("""COMPUTED_VALUE"""),0)</f>
        <v>0</v>
      </c>
      <c r="R83" s="48">
        <f ca="1">IFERROR(__xludf.DUMMYFUNCTION("""COMPUTED_VALUE"""),0)</f>
        <v>0</v>
      </c>
      <c r="S83" s="48">
        <f ca="1">IFERROR(__xludf.DUMMYFUNCTION("""COMPUTED_VALUE"""),16)</f>
        <v>16</v>
      </c>
    </row>
    <row r="84" spans="1:19">
      <c r="A84" s="46" t="str">
        <f ca="1">IFERROR(__xludf.DUMMYFUNCTION("""COMPUTED_VALUE"""),"ANIMALES EN RESGUARDO EN UNIDAD DE CONTROL CANINO")</f>
        <v>ANIMALES EN RESGUARDO EN UNIDAD DE CONTROL CANINO</v>
      </c>
      <c r="B84" s="46">
        <f ca="1">IFERROR(__xludf.DUMMYFUNCTION("""COMPUTED_VALUE"""),240)</f>
        <v>240</v>
      </c>
      <c r="C84" s="46" t="str">
        <f ca="1">IFERROR(__xludf.DUMMYFUNCTION("""COMPUTED_VALUE"""),"ANIMALES RESGUARDADOS")</f>
        <v>ANIMALES RESGUARDADOS</v>
      </c>
      <c r="D84" s="46" t="str">
        <f ca="1">IFERROR(__xludf.DUMMYFUNCTION("""COMPUTED_VALUE"""),"ASCENDENTE")</f>
        <v>ASCENDENTE</v>
      </c>
      <c r="E84" s="46" t="str">
        <f ca="1">IFERROR(__xludf.DUMMYFUNCTION("""COMPUTED_VALUE"""),"BITACORA OPERATIVA")</f>
        <v>BITACORA OPERATIVA</v>
      </c>
      <c r="F84" s="47">
        <f ca="1">IFERROR(__xludf.DUMMYFUNCTION("""COMPUTED_VALUE"""),133.333333333333)</f>
        <v>133.333333333333</v>
      </c>
      <c r="G84" s="48">
        <f ca="1">IFERROR(__xludf.DUMMYFUNCTION("""COMPUTED_VALUE"""),20)</f>
        <v>20</v>
      </c>
      <c r="H84" s="48">
        <f ca="1">IFERROR(__xludf.DUMMYFUNCTION("""COMPUTED_VALUE"""),20)</f>
        <v>20</v>
      </c>
      <c r="I84" s="48">
        <f ca="1">IFERROR(__xludf.DUMMYFUNCTION("""COMPUTED_VALUE"""),21)</f>
        <v>21</v>
      </c>
      <c r="J84" s="48">
        <f ca="1">IFERROR(__xludf.DUMMYFUNCTION("""COMPUTED_VALUE"""),25)</f>
        <v>25</v>
      </c>
      <c r="K84" s="48">
        <f ca="1">IFERROR(__xludf.DUMMYFUNCTION("""COMPUTED_VALUE"""),27)</f>
        <v>27</v>
      </c>
      <c r="L84" s="48">
        <f ca="1">IFERROR(__xludf.DUMMYFUNCTION("""COMPUTED_VALUE"""),34)</f>
        <v>34</v>
      </c>
      <c r="M84" s="48">
        <f ca="1">IFERROR(__xludf.DUMMYFUNCTION("""COMPUTED_VALUE"""),25)</f>
        <v>25</v>
      </c>
      <c r="N84" s="48">
        <f ca="1">IFERROR(__xludf.DUMMYFUNCTION("""COMPUTED_VALUE"""),27)</f>
        <v>27</v>
      </c>
      <c r="O84" s="48">
        <f ca="1">IFERROR(__xludf.DUMMYFUNCTION("""COMPUTED_VALUE"""),34)</f>
        <v>34</v>
      </c>
      <c r="P84" s="48">
        <f ca="1">IFERROR(__xludf.DUMMYFUNCTION("""COMPUTED_VALUE"""),24)</f>
        <v>24</v>
      </c>
      <c r="Q84" s="48">
        <f ca="1">IFERROR(__xludf.DUMMYFUNCTION("""COMPUTED_VALUE"""),29)</f>
        <v>29</v>
      </c>
      <c r="R84" s="48">
        <f ca="1">IFERROR(__xludf.DUMMYFUNCTION("""COMPUTED_VALUE"""),34)</f>
        <v>34</v>
      </c>
      <c r="S84" s="48">
        <f ca="1">IFERROR(__xludf.DUMMYFUNCTION("""COMPUTED_VALUE"""),320)</f>
        <v>320</v>
      </c>
    </row>
    <row r="85" spans="1:19">
      <c r="A85" s="46" t="str">
        <f ca="1">IFERROR(__xludf.DUMMYFUNCTION("""COMPUTED_VALUE"""),"CAMPAÑAS PARA MASCOTAS REALIZADAS (VACUNACION, ESTERILIZACION ETC).")</f>
        <v>CAMPAÑAS PARA MASCOTAS REALIZADAS (VACUNACION, ESTERILIZACION ETC).</v>
      </c>
      <c r="B85" s="46">
        <f ca="1">IFERROR(__xludf.DUMMYFUNCTION("""COMPUTED_VALUE"""),240)</f>
        <v>240</v>
      </c>
      <c r="C85" s="46" t="str">
        <f ca="1">IFERROR(__xludf.DUMMYFUNCTION("""COMPUTED_VALUE"""),"CAMPAÑAS")</f>
        <v>CAMPAÑAS</v>
      </c>
      <c r="D85" s="46" t="str">
        <f ca="1">IFERROR(__xludf.DUMMYFUNCTION("""COMPUTED_VALUE"""),"ASCENDENTE")</f>
        <v>ASCENDENTE</v>
      </c>
      <c r="E85" s="46" t="str">
        <f ca="1">IFERROR(__xludf.DUMMYFUNCTION("""COMPUTED_VALUE"""),"BITACORA OPERATIVA")</f>
        <v>BITACORA OPERATIVA</v>
      </c>
      <c r="F85" s="47">
        <f ca="1">IFERROR(__xludf.DUMMYFUNCTION("""COMPUTED_VALUE"""),96.6666666666666)</f>
        <v>96.6666666666666</v>
      </c>
      <c r="G85" s="48">
        <f ca="1">IFERROR(__xludf.DUMMYFUNCTION("""COMPUTED_VALUE"""),22)</f>
        <v>22</v>
      </c>
      <c r="H85" s="48">
        <f ca="1">IFERROR(__xludf.DUMMYFUNCTION("""COMPUTED_VALUE"""),23)</f>
        <v>23</v>
      </c>
      <c r="I85" s="48">
        <f ca="1">IFERROR(__xludf.DUMMYFUNCTION("""COMPUTED_VALUE"""),23)</f>
        <v>23</v>
      </c>
      <c r="J85" s="48">
        <f ca="1">IFERROR(__xludf.DUMMYFUNCTION("""COMPUTED_VALUE"""),39)</f>
        <v>39</v>
      </c>
      <c r="K85" s="48">
        <f ca="1">IFERROR(__xludf.DUMMYFUNCTION("""COMPUTED_VALUE"""),25)</f>
        <v>25</v>
      </c>
      <c r="L85" s="48">
        <f ca="1">IFERROR(__xludf.DUMMYFUNCTION("""COMPUTED_VALUE"""),47)</f>
        <v>47</v>
      </c>
      <c r="M85" s="48">
        <f ca="1">IFERROR(__xludf.DUMMYFUNCTION("""COMPUTED_VALUE"""),40)</f>
        <v>40</v>
      </c>
      <c r="N85" s="48">
        <f ca="1">IFERROR(__xludf.DUMMYFUNCTION("""COMPUTED_VALUE"""),2)</f>
        <v>2</v>
      </c>
      <c r="O85" s="48">
        <f ca="1">IFERROR(__xludf.DUMMYFUNCTION("""COMPUTED_VALUE"""),2)</f>
        <v>2</v>
      </c>
      <c r="P85" s="48">
        <f ca="1">IFERROR(__xludf.DUMMYFUNCTION("""COMPUTED_VALUE"""),4)</f>
        <v>4</v>
      </c>
      <c r="Q85" s="48">
        <f ca="1">IFERROR(__xludf.DUMMYFUNCTION("""COMPUTED_VALUE"""),3)</f>
        <v>3</v>
      </c>
      <c r="R85" s="48">
        <f ca="1">IFERROR(__xludf.DUMMYFUNCTION("""COMPUTED_VALUE"""),2)</f>
        <v>2</v>
      </c>
      <c r="S85" s="48">
        <f ca="1">IFERROR(__xludf.DUMMYFUNCTION("""COMPUTED_VALUE"""),232)</f>
        <v>232</v>
      </c>
    </row>
    <row r="86" spans="1:19">
      <c r="A86" s="46" t="str">
        <f ca="1">IFERROR(__xludf.DUMMYFUNCTION("""COMPUTED_VALUE"""),"ANIMALES ATENDIDOS EN CAMPAÑAS DE ESTERILIZACION")</f>
        <v>ANIMALES ATENDIDOS EN CAMPAÑAS DE ESTERILIZACION</v>
      </c>
      <c r="B86" s="46">
        <f ca="1">IFERROR(__xludf.DUMMYFUNCTION("""COMPUTED_VALUE"""),60)</f>
        <v>60</v>
      </c>
      <c r="C86" s="46" t="str">
        <f ca="1">IFERROR(__xludf.DUMMYFUNCTION("""COMPUTED_VALUE"""),"ANIMALES ATENDIDOS")</f>
        <v>ANIMALES ATENDIDOS</v>
      </c>
      <c r="D86" s="46" t="str">
        <f ca="1">IFERROR(__xludf.DUMMYFUNCTION("""COMPUTED_VALUE"""),"ASCENDENTE")</f>
        <v>ASCENDENTE</v>
      </c>
      <c r="E86" s="46" t="str">
        <f ca="1">IFERROR(__xludf.DUMMYFUNCTION("""COMPUTED_VALUE"""),"BITACORA OPERATIVA")</f>
        <v>BITACORA OPERATIVA</v>
      </c>
      <c r="F86" s="47">
        <f ca="1">IFERROR(__xludf.DUMMYFUNCTION("""COMPUTED_VALUE"""),40)</f>
        <v>40</v>
      </c>
      <c r="G86" s="48">
        <f ca="1">IFERROR(__xludf.DUMMYFUNCTION("""COMPUTED_VALUE"""),1)</f>
        <v>1</v>
      </c>
      <c r="H86" s="48">
        <f ca="1">IFERROR(__xludf.DUMMYFUNCTION("""COMPUTED_VALUE"""),0)</f>
        <v>0</v>
      </c>
      <c r="I86" s="48">
        <f ca="1">IFERROR(__xludf.DUMMYFUNCTION("""COMPUTED_VALUE"""),0)</f>
        <v>0</v>
      </c>
      <c r="J86" s="48">
        <f ca="1">IFERROR(__xludf.DUMMYFUNCTION("""COMPUTED_VALUE"""),1)</f>
        <v>1</v>
      </c>
      <c r="K86" s="48">
        <f ca="1">IFERROR(__xludf.DUMMYFUNCTION("""COMPUTED_VALUE"""),5)</f>
        <v>5</v>
      </c>
      <c r="L86" s="48">
        <f ca="1">IFERROR(__xludf.DUMMYFUNCTION("""COMPUTED_VALUE"""),6)</f>
        <v>6</v>
      </c>
      <c r="M86" s="48">
        <f ca="1">IFERROR(__xludf.DUMMYFUNCTION("""COMPUTED_VALUE"""),0)</f>
        <v>0</v>
      </c>
      <c r="N86" s="48">
        <f ca="1">IFERROR(__xludf.DUMMYFUNCTION("""COMPUTED_VALUE"""),1)</f>
        <v>1</v>
      </c>
      <c r="O86" s="48">
        <f ca="1">IFERROR(__xludf.DUMMYFUNCTION("""COMPUTED_VALUE"""),1)</f>
        <v>1</v>
      </c>
      <c r="P86" s="48">
        <f ca="1">IFERROR(__xludf.DUMMYFUNCTION("""COMPUTED_VALUE"""),1)</f>
        <v>1</v>
      </c>
      <c r="Q86" s="48">
        <f ca="1">IFERROR(__xludf.DUMMYFUNCTION("""COMPUTED_VALUE"""),2)</f>
        <v>2</v>
      </c>
      <c r="R86" s="48">
        <f ca="1">IFERROR(__xludf.DUMMYFUNCTION("""COMPUTED_VALUE"""),6)</f>
        <v>6</v>
      </c>
      <c r="S86" s="48">
        <f ca="1">IFERROR(__xludf.DUMMYFUNCTION("""COMPUTED_VALUE"""),24)</f>
        <v>24</v>
      </c>
    </row>
    <row r="87" spans="1:19">
      <c r="A87" s="46" t="str">
        <f ca="1">IFERROR(__xludf.DUMMYFUNCTION("""COMPUTED_VALUE"""),"ANIMALES VIVOS RECOGIDOS EN VIA PUBLICA")</f>
        <v>ANIMALES VIVOS RECOGIDOS EN VIA PUBLICA</v>
      </c>
      <c r="B87" s="46">
        <f ca="1">IFERROR(__xludf.DUMMYFUNCTION("""COMPUTED_VALUE"""),420)</f>
        <v>420</v>
      </c>
      <c r="C87" s="46" t="str">
        <f ca="1">IFERROR(__xludf.DUMMYFUNCTION("""COMPUTED_VALUE"""),"ANIMALES RECOLECTADOS")</f>
        <v>ANIMALES RECOLECTADOS</v>
      </c>
      <c r="D87" s="46" t="str">
        <f ca="1">IFERROR(__xludf.DUMMYFUNCTION("""COMPUTED_VALUE"""),"ASCENDENTE")</f>
        <v>ASCENDENTE</v>
      </c>
      <c r="E87" s="46" t="str">
        <f ca="1">IFERROR(__xludf.DUMMYFUNCTION("""COMPUTED_VALUE"""),"BITACORA OPERATIVA")</f>
        <v>BITACORA OPERATIVA</v>
      </c>
      <c r="F87" s="47">
        <f ca="1">IFERROR(__xludf.DUMMYFUNCTION("""COMPUTED_VALUE"""),82.6190476190476)</f>
        <v>82.619047619047606</v>
      </c>
      <c r="G87" s="48">
        <f ca="1">IFERROR(__xludf.DUMMYFUNCTION("""COMPUTED_VALUE"""),22)</f>
        <v>22</v>
      </c>
      <c r="H87" s="48">
        <f ca="1">IFERROR(__xludf.DUMMYFUNCTION("""COMPUTED_VALUE"""),23)</f>
        <v>23</v>
      </c>
      <c r="I87" s="48">
        <f ca="1">IFERROR(__xludf.DUMMYFUNCTION("""COMPUTED_VALUE"""),23)</f>
        <v>23</v>
      </c>
      <c r="J87" s="48">
        <f ca="1">IFERROR(__xludf.DUMMYFUNCTION("""COMPUTED_VALUE"""),39)</f>
        <v>39</v>
      </c>
      <c r="K87" s="48">
        <f ca="1">IFERROR(__xludf.DUMMYFUNCTION("""COMPUTED_VALUE"""),25)</f>
        <v>25</v>
      </c>
      <c r="L87" s="48">
        <f ca="1">IFERROR(__xludf.DUMMYFUNCTION("""COMPUTED_VALUE"""),47)</f>
        <v>47</v>
      </c>
      <c r="M87" s="48">
        <f ca="1">IFERROR(__xludf.DUMMYFUNCTION("""COMPUTED_VALUE"""),31)</f>
        <v>31</v>
      </c>
      <c r="N87" s="48">
        <f ca="1">IFERROR(__xludf.DUMMYFUNCTION("""COMPUTED_VALUE"""),22)</f>
        <v>22</v>
      </c>
      <c r="O87" s="48">
        <f ca="1">IFERROR(__xludf.DUMMYFUNCTION("""COMPUTED_VALUE"""),20)</f>
        <v>20</v>
      </c>
      <c r="P87" s="48">
        <f ca="1">IFERROR(__xludf.DUMMYFUNCTION("""COMPUTED_VALUE"""),35)</f>
        <v>35</v>
      </c>
      <c r="Q87" s="48">
        <f ca="1">IFERROR(__xludf.DUMMYFUNCTION("""COMPUTED_VALUE"""),26)</f>
        <v>26</v>
      </c>
      <c r="R87" s="48">
        <f ca="1">IFERROR(__xludf.DUMMYFUNCTION("""COMPUTED_VALUE"""),34)</f>
        <v>34</v>
      </c>
      <c r="S87" s="48">
        <f ca="1">IFERROR(__xludf.DUMMYFUNCTION("""COMPUTED_VALUE"""),347)</f>
        <v>347</v>
      </c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cols>
    <col min="5" max="5" width="20" customWidth="1"/>
  </cols>
  <sheetData>
    <row r="1" spans="1:19">
      <c r="A1" s="46" t="str">
        <f ca="1">IFERROR(__xludf.DUMMYFUNCTION("IMPORTRANGE(""https://docs.google.com/spreadsheets/d/1iB1jyWAJyZ7e3O1bmLTdLl18y4kbu3po3PUU4JQdxnQ/edit?gid=1552568037#gid=1552568037"",""02!A1:S"")"),"INDICADORES")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IFERROR(__xludf.DUMMYFUNCTION("""COMPUTED_VALUE"""),"MANTENIMIENTO A INFRAESTRUCTURA DE AGUA POTABLE")</f>
        <v>MANTENIMIENTO A INFRAESTRUCTURA DE AGUA POTABLE</v>
      </c>
      <c r="B2" s="46">
        <f ca="1">IFERROR(__xludf.DUMMYFUNCTION("""COMPUTED_VALUE"""),1)</f>
        <v>1</v>
      </c>
      <c r="C2" s="46"/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IFERROR(__xludf.DUMMYFUNCTION("""COMPUTED_VALUE"""),0)</f>
        <v>0</v>
      </c>
      <c r="G2" s="48">
        <f ca="1">IFERROR(__xludf.DUMMYFUNCTION("""COMPUTED_VALUE"""),33)</f>
        <v>33</v>
      </c>
      <c r="H2" s="48">
        <f ca="1">IFERROR(__xludf.DUMMYFUNCTION("""COMPUTED_VALUE"""),19)</f>
        <v>19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IFERROR(__xludf.DUMMYFUNCTION("""COMPUTED_VALUE"""),52)</f>
        <v>52</v>
      </c>
    </row>
    <row r="3" spans="1:19">
      <c r="A3" s="46" t="str">
        <f ca="1">IFERROR(__xludf.DUMMYFUNCTION("""COMPUTED_VALUE"""),"REPORTES FUGAS DE AGUA")</f>
        <v>REPORTES FUGAS DE AGUA</v>
      </c>
      <c r="B3" s="46">
        <f ca="1">IFERROR(__xludf.DUMMYFUNCTION("""COMPUTED_VALUE"""),1)</f>
        <v>1</v>
      </c>
      <c r="C3" s="46"/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IFERROR(__xludf.DUMMYFUNCTION("""COMPUTED_VALUE"""),0)</f>
        <v>0</v>
      </c>
      <c r="G3" s="48">
        <f ca="1">IFERROR(__xludf.DUMMYFUNCTION("""COMPUTED_VALUE"""),80)</f>
        <v>80</v>
      </c>
      <c r="H3" s="48">
        <f ca="1">IFERROR(__xludf.DUMMYFUNCTION("""COMPUTED_VALUE"""),46)</f>
        <v>46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IFERROR(__xludf.DUMMYFUNCTION("""COMPUTED_VALUE"""),126)</f>
        <v>126</v>
      </c>
    </row>
    <row r="4" spans="1:19">
      <c r="A4" s="46" t="str">
        <f ca="1">IFERROR(__xludf.DUMMYFUNCTION("""COMPUTED_VALUE"""),"RECONEXIONES TOMAS DE AGUA")</f>
        <v>RECONEXIONES TOMAS DE AGUA</v>
      </c>
      <c r="B4" s="46">
        <f ca="1">IFERROR(__xludf.DUMMYFUNCTION("""COMPUTED_VALUE"""),1)</f>
        <v>1</v>
      </c>
      <c r="C4" s="46"/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IFERROR(__xludf.DUMMYFUNCTION("""COMPUTED_VALUE"""),0)</f>
        <v>0</v>
      </c>
      <c r="G4" s="48">
        <f ca="1">IFERROR(__xludf.DUMMYFUNCTION("""COMPUTED_VALUE"""),6)</f>
        <v>6</v>
      </c>
      <c r="H4" s="48">
        <f ca="1">IFERROR(__xludf.DUMMYFUNCTION("""COMPUTED_VALUE"""),4)</f>
        <v>4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IFERROR(__xludf.DUMMYFUNCTION("""COMPUTED_VALUE"""),10)</f>
        <v>10</v>
      </c>
    </row>
    <row r="5" spans="1:19">
      <c r="A5" s="46" t="str">
        <f ca="1">IFERROR(__xludf.DUMMYFUNCTION("""COMPUTED_VALUE"""),"SOPLETEAR TOMAS")</f>
        <v>SOPLETEAR TOMAS</v>
      </c>
      <c r="B5" s="46">
        <f ca="1">IFERROR(__xludf.DUMMYFUNCTION("""COMPUTED_VALUE"""),1)</f>
        <v>1</v>
      </c>
      <c r="C5" s="46"/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IFERROR(__xludf.DUMMYFUNCTION("""COMPUTED_VALUE"""),0)</f>
        <v>0</v>
      </c>
      <c r="G5" s="48">
        <f ca="1">IFERROR(__xludf.DUMMYFUNCTION("""COMPUTED_VALUE"""),18)</f>
        <v>18</v>
      </c>
      <c r="H5" s="48">
        <f ca="1">IFERROR(__xludf.DUMMYFUNCTION("""COMPUTED_VALUE"""),25)</f>
        <v>25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IFERROR(__xludf.DUMMYFUNCTION("""COMPUTED_VALUE"""),43)</f>
        <v>43</v>
      </c>
    </row>
    <row r="6" spans="1:19">
      <c r="A6" s="46" t="str">
        <f ca="1">IFERROR(__xludf.DUMMYFUNCTION("""COMPUTED_VALUE"""),"SUSPENSIÓN DE TOMAS")</f>
        <v>SUSPENSIÓN DE TOMAS</v>
      </c>
      <c r="B6" s="46">
        <f ca="1">IFERROR(__xludf.DUMMYFUNCTION("""COMPUTED_VALUE"""),1)</f>
        <v>1</v>
      </c>
      <c r="C6" s="46"/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IFERROR(__xludf.DUMMYFUNCTION("""COMPUTED_VALUE"""),0)</f>
        <v>0</v>
      </c>
      <c r="G6" s="48">
        <f ca="1">IFERROR(__xludf.DUMMYFUNCTION("""COMPUTED_VALUE"""),8)</f>
        <v>8</v>
      </c>
      <c r="H6" s="48">
        <f ca="1">IFERROR(__xludf.DUMMYFUNCTION("""COMPUTED_VALUE"""),7)</f>
        <v>7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IFERROR(__xludf.DUMMYFUNCTION("""COMPUTED_VALUE"""),15)</f>
        <v>15</v>
      </c>
    </row>
    <row r="7" spans="1:19">
      <c r="A7" s="46" t="str">
        <f ca="1">IFERROR(__xludf.DUMMYFUNCTION("""COMPUTED_VALUE"""),"REPARACIÓN O DESASOLVE")</f>
        <v>REPARACIÓN O DESASOLVE</v>
      </c>
      <c r="B7" s="46">
        <f ca="1">IFERROR(__xludf.DUMMYFUNCTION("""COMPUTED_VALUE"""),1)</f>
        <v>1</v>
      </c>
      <c r="C7" s="46"/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IFERROR(__xludf.DUMMYFUNCTION("""COMPUTED_VALUE"""),0)</f>
        <v>0</v>
      </c>
      <c r="G7" s="48">
        <f ca="1">IFERROR(__xludf.DUMMYFUNCTION("""COMPUTED_VALUE"""),16)</f>
        <v>16</v>
      </c>
      <c r="H7" s="48">
        <f ca="1">IFERROR(__xludf.DUMMYFUNCTION("""COMPUTED_VALUE"""),9)</f>
        <v>9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IFERROR(__xludf.DUMMYFUNCTION("""COMPUTED_VALUE"""),25)</f>
        <v>25</v>
      </c>
    </row>
    <row r="8" spans="1:19">
      <c r="A8" s="46" t="str">
        <f ca="1">IFERROR(__xludf.DUMMYFUNCTION("""COMPUTED_VALUE"""),"CAMBIOS DE NOMBRE DE TOMAS DE AGUA POTABLE")</f>
        <v>CAMBIOS DE NOMBRE DE TOMAS DE AGUA POTABLE</v>
      </c>
      <c r="B8" s="46">
        <f ca="1">IFERROR(__xludf.DUMMYFUNCTION("""COMPUTED_VALUE"""),1)</f>
        <v>1</v>
      </c>
      <c r="C8" s="46"/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8">
        <f ca="1">IFERROR(__xludf.DUMMYFUNCTION("""COMPUTED_VALUE"""),5)</f>
        <v>5</v>
      </c>
      <c r="H8" s="48">
        <f ca="1">IFERROR(__xludf.DUMMYFUNCTION("""COMPUTED_VALUE"""),4)</f>
        <v>4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IFERROR(__xludf.DUMMYFUNCTION("""COMPUTED_VALUE"""),9)</f>
        <v>9</v>
      </c>
    </row>
    <row r="9" spans="1:19">
      <c r="A9" s="46" t="str">
        <f ca="1">IFERROR(__xludf.DUMMYFUNCTION("""COMPUTED_VALUE"""),"NUEVAS TOMAS DE AGUA POTABLE(ZONA URBANA)")</f>
        <v>NUEVAS TOMAS DE AGUA POTABLE(ZONA URBANA)</v>
      </c>
      <c r="B9" s="46">
        <f ca="1">IFERROR(__xludf.DUMMYFUNCTION("""COMPUTED_VALUE"""),1)</f>
        <v>1</v>
      </c>
      <c r="C9" s="46"/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IFERROR(__xludf.DUMMYFUNCTION("""COMPUTED_VALUE"""),0)</f>
        <v>0</v>
      </c>
      <c r="G9" s="48">
        <f ca="1">IFERROR(__xludf.DUMMYFUNCTION("""COMPUTED_VALUE"""),25)</f>
        <v>25</v>
      </c>
      <c r="H9" s="48">
        <f ca="1">IFERROR(__xludf.DUMMYFUNCTION("""COMPUTED_VALUE"""),31)</f>
        <v>31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IFERROR(__xludf.DUMMYFUNCTION("""COMPUTED_VALUE"""),56)</f>
        <v>56</v>
      </c>
    </row>
    <row r="10" spans="1:19">
      <c r="A10" s="46" t="str">
        <f ca="1">IFERROR(__xludf.DUMMYFUNCTION("""COMPUTED_VALUE"""),"CAPTURA DE LECTURAS DE AGUA POTABLE")</f>
        <v>CAPTURA DE LECTURAS DE AGUA POTABLE</v>
      </c>
      <c r="B10" s="46">
        <f ca="1">IFERROR(__xludf.DUMMYFUNCTION("""COMPUTED_VALUE"""),1)</f>
        <v>1</v>
      </c>
      <c r="C10" s="46"/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IFERROR(__xludf.DUMMYFUNCTION("""COMPUTED_VALUE"""),15169)</f>
        <v>15169</v>
      </c>
      <c r="H10" s="48">
        <f ca="1">IFERROR(__xludf.DUMMYFUNCTION("""COMPUTED_VALUE"""),15189)</f>
        <v>15189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IFERROR(__xludf.DUMMYFUNCTION("""COMPUTED_VALUE"""),30358)</f>
        <v>30358</v>
      </c>
    </row>
    <row r="11" spans="1:19">
      <c r="A11" s="46" t="str">
        <f ca="1">IFERROR(__xludf.DUMMYFUNCTION("""COMPUTED_VALUE"""),"SOLICITUDES DE PIPAS")</f>
        <v>SOLICITUDES DE PIPAS</v>
      </c>
      <c r="B11" s="46">
        <f ca="1">IFERROR(__xludf.DUMMYFUNCTION("""COMPUTED_VALUE"""),1)</f>
        <v>1</v>
      </c>
      <c r="C11" s="46"/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IFERROR(__xludf.DUMMYFUNCTION("""COMPUTED_VALUE"""),0)</f>
        <v>0</v>
      </c>
      <c r="G11" s="48">
        <f ca="1">IFERROR(__xludf.DUMMYFUNCTION("""COMPUTED_VALUE"""),29)</f>
        <v>29</v>
      </c>
      <c r="H11" s="48">
        <f ca="1">IFERROR(__xludf.DUMMYFUNCTION("""COMPUTED_VALUE"""),20)</f>
        <v>20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IFERROR(__xludf.DUMMYFUNCTION("""COMPUTED_VALUE"""),49)</f>
        <v>49</v>
      </c>
    </row>
    <row r="12" spans="1:19">
      <c r="A12" s="46" t="str">
        <f ca="1">IFERROR(__xludf.DUMMYFUNCTION("""COMPUTED_VALUE"""),"PIPAS ENTREGADAS")</f>
        <v>PIPAS ENTREGADAS</v>
      </c>
      <c r="B12" s="46">
        <f ca="1">IFERROR(__xludf.DUMMYFUNCTION("""COMPUTED_VALUE"""),1)</f>
        <v>1</v>
      </c>
      <c r="C12" s="46"/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IFERROR(__xludf.DUMMYFUNCTION("""COMPUTED_VALUE"""),29)</f>
        <v>29</v>
      </c>
      <c r="H12" s="48">
        <f ca="1">IFERROR(__xludf.DUMMYFUNCTION("""COMPUTED_VALUE"""),20)</f>
        <v>20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IFERROR(__xludf.DUMMYFUNCTION("""COMPUTED_VALUE"""),49)</f>
        <v>49</v>
      </c>
    </row>
    <row r="13" spans="1:19">
      <c r="A13" s="46" t="str">
        <f ca="1">IFERROR(__xludf.DUMMYFUNCTION("""COMPUTED_VALUE"""),"CERTIFICADOS DE NO ADEUDO")</f>
        <v>CERTIFICADOS DE NO ADEUDO</v>
      </c>
      <c r="B13" s="46">
        <f ca="1">IFERROR(__xludf.DUMMYFUNCTION("""COMPUTED_VALUE"""),1)</f>
        <v>1</v>
      </c>
      <c r="C13" s="46"/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IFERROR(__xludf.DUMMYFUNCTION("""COMPUTED_VALUE"""),2)</f>
        <v>2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IFERROR(__xludf.DUMMYFUNCTION("""COMPUTED_VALUE"""),2)</f>
        <v>2</v>
      </c>
    </row>
    <row r="14" spans="1:19">
      <c r="A14" s="46" t="str">
        <f ca="1">IFERROR(__xludf.DUMMYFUNCTION("""COMPUTED_VALUE"""),"SOLICITUDES DE VERIFICACIÓN DOMICILIARIA (EFICIENCIA DEL SERVICIO)")</f>
        <v>SOLICITUDES DE VERIFICACIÓN DOMICILIARIA (EFICIENCIA DEL SERVICIO)</v>
      </c>
      <c r="B14" s="46">
        <f ca="1">IFERROR(__xludf.DUMMYFUNCTION("""COMPUTED_VALUE"""),1)</f>
        <v>1</v>
      </c>
      <c r="C14" s="46"/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IFERROR(__xludf.DUMMYFUNCTION("""COMPUTED_VALUE"""),20)</f>
        <v>20</v>
      </c>
      <c r="H14" s="48">
        <f ca="1">IFERROR(__xludf.DUMMYFUNCTION("""COMPUTED_VALUE"""),12)</f>
        <v>12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IFERROR(__xludf.DUMMYFUNCTION("""COMPUTED_VALUE"""),32)</f>
        <v>32</v>
      </c>
    </row>
    <row r="15" spans="1:19">
      <c r="A15" s="46" t="str">
        <f ca="1">IFERROR(__xludf.DUMMYFUNCTION("""COMPUTED_VALUE"""),"INEXISTENCIAS DE TOMAS")</f>
        <v>INEXISTENCIAS DE TOMAS</v>
      </c>
      <c r="B15" s="46">
        <f ca="1">IFERROR(__xludf.DUMMYFUNCTION("""COMPUTED_VALUE"""),1)</f>
        <v>1</v>
      </c>
      <c r="C15" s="46"/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IFERROR(__xludf.DUMMYFUNCTION("""COMPUTED_VALUE"""),0)</f>
        <v>0</v>
      </c>
      <c r="G15" s="48">
        <f ca="1">IFERROR(__xludf.DUMMYFUNCTION("""COMPUTED_VALUE"""),66)</f>
        <v>66</v>
      </c>
      <c r="H15" s="48">
        <f ca="1">IFERROR(__xludf.DUMMYFUNCTION("""COMPUTED_VALUE"""),69)</f>
        <v>69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IFERROR(__xludf.DUMMYFUNCTION("""COMPUTED_VALUE"""),135)</f>
        <v>135</v>
      </c>
    </row>
    <row r="16" spans="1:19">
      <c r="A16" s="46" t="str">
        <f ca="1">IFERROR(__xludf.DUMMYFUNCTION("""COMPUTED_VALUE"""),"VERIFICACIÓN DE DRENAJE EN FRACCIONAMIENTOS NUEVOS")</f>
        <v>VERIFICACIÓN DE DRENAJE EN FRACCIONAMIENTOS NUEVOS</v>
      </c>
      <c r="B16" s="46">
        <f ca="1">IFERROR(__xludf.DUMMYFUNCTION("""COMPUTED_VALUE"""),1)</f>
        <v>1</v>
      </c>
      <c r="C16" s="46"/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IFERROR(__xludf.DUMMYFUNCTION("""COMPUTED_VALUE"""),"HABILITACIÓN DE REDES NUEVAS DE AGUA POTABLE")</f>
        <v>HABILITACIÓN DE REDES NUEVAS DE AGUA POTABLE</v>
      </c>
      <c r="B17" s="46">
        <f ca="1">IFERROR(__xludf.DUMMYFUNCTION("""COMPUTED_VALUE"""),1)</f>
        <v>1</v>
      </c>
      <c r="C17" s="46"/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IFERROR(__xludf.DUMMYFUNCTION("""COMPUTED_VALUE"""),0)</f>
        <v>0</v>
      </c>
      <c r="G17" s="48">
        <f ca="1">IFERROR(__xludf.DUMMYFUNCTION("""COMPUTED_VALUE"""),1)</f>
        <v>1</v>
      </c>
      <c r="H17" s="48">
        <f ca="1">IFERROR(__xludf.DUMMYFUNCTION("""COMPUTED_VALUE"""),2)</f>
        <v>2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IFERROR(__xludf.DUMMYFUNCTION("""COMPUTED_VALUE"""),3)</f>
        <v>3</v>
      </c>
    </row>
    <row r="18" spans="1:19">
      <c r="A18" s="46" t="str">
        <f ca="1">IFERROR(__xludf.DUMMYFUNCTION("""COMPUTED_VALUE"""),"INSTALACIÓN Y REHABILITACIÓN DE SANITARIOS")</f>
        <v>INSTALACIÓN Y REHABILITACIÓN DE SANITARIOS</v>
      </c>
      <c r="B18" s="46">
        <f ca="1">IFERROR(__xludf.DUMMYFUNCTION("""COMPUTED_VALUE"""),1)</f>
        <v>1</v>
      </c>
      <c r="C18" s="46"/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 MANTENIMIENTO A BOMBAS DE AGUA")</f>
        <v xml:space="preserve"> MANTENIMIENTO A BOMBAS DE AGUA</v>
      </c>
      <c r="B19" s="46">
        <f ca="1">IFERROR(__xludf.DUMMYFUNCTION("""COMPUTED_VALUE"""),1)</f>
        <v>1</v>
      </c>
      <c r="C19" s="46"/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IFERROR(__xludf.DUMMYFUNCTION("""COMPUTED_VALUE"""),0)</f>
        <v>0</v>
      </c>
      <c r="G19" s="48">
        <f ca="1">IFERROR(__xludf.DUMMYFUNCTION("""COMPUTED_VALUE"""),5)</f>
        <v>5</v>
      </c>
      <c r="H19" s="48">
        <f ca="1">IFERROR(__xludf.DUMMYFUNCTION("""COMPUTED_VALUE"""),2)</f>
        <v>2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IFERROR(__xludf.DUMMYFUNCTION("""COMPUTED_VALUE"""),7)</f>
        <v>7</v>
      </c>
    </row>
    <row r="20" spans="1:19">
      <c r="A20" s="46" t="str">
        <f ca="1">IFERROR(__xludf.DUMMYFUNCTION("""COMPUTED_VALUE"""),"REPARACION DE FUGAS DE DRENAJE")</f>
        <v>REPARACION DE FUGAS DE DRENAJE</v>
      </c>
      <c r="B20" s="46">
        <f ca="1">IFERROR(__xludf.DUMMYFUNCTION("""COMPUTED_VALUE"""),1)</f>
        <v>1</v>
      </c>
      <c r="C20" s="46"/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IFERROR(__xludf.DUMMYFUNCTION("""COMPUTED_VALUE"""),0)</f>
        <v>0</v>
      </c>
      <c r="G20" s="48">
        <f ca="1">IFERROR(__xludf.DUMMYFUNCTION("""COMPUTED_VALUE"""),0)</f>
        <v>0</v>
      </c>
      <c r="H20" s="48">
        <f ca="1">IFERROR(__xludf.DUMMYFUNCTION("""COMPUTED_VALUE"""),0)</f>
        <v>0</v>
      </c>
      <c r="I20" s="48">
        <f ca="1">IFERROR(__xludf.DUMMYFUNCTION("""COMPUTED_VALUE"""),0)</f>
        <v>0</v>
      </c>
      <c r="J20" s="48">
        <f ca="1">IFERROR(__xludf.DUMMYFUNCTION("""COMPUTED_VALUE"""),0)</f>
        <v>0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IFERROR(__xludf.DUMMYFUNCTION("""COMPUTED_VALUE"""),0)</f>
        <v>0</v>
      </c>
    </row>
    <row r="21" spans="1:19">
      <c r="A21" s="46" t="str">
        <f ca="1">IFERROR(__xludf.DUMMYFUNCTION("""COMPUTED_VALUE"""),"LITROS EXTRAIDOS")</f>
        <v>LITROS EXTRAIDOS</v>
      </c>
      <c r="B21" s="46">
        <f ca="1">IFERROR(__xludf.DUMMYFUNCTION("""COMPUTED_VALUE"""),1)</f>
        <v>1</v>
      </c>
      <c r="C21" s="46"/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IFERROR(__xludf.DUMMYFUNCTION("""COMPUTED_VALUE"""),0)</f>
        <v>0</v>
      </c>
      <c r="G21" s="48">
        <f ca="1">IFERROR(__xludf.DUMMYFUNCTION("""COMPUTED_VALUE"""),5)</f>
        <v>5</v>
      </c>
      <c r="H21" s="48">
        <f ca="1">IFERROR(__xludf.DUMMYFUNCTION("""COMPUTED_VALUE"""),2)</f>
        <v>2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IFERROR(__xludf.DUMMYFUNCTION("""COMPUTED_VALUE"""),7)</f>
        <v>7</v>
      </c>
    </row>
    <row r="22" spans="1:19">
      <c r="A22" s="46" t="str">
        <f ca="1">IFERROR(__xludf.DUMMYFUNCTION("""COMPUTED_VALUE"""),"LITROS DE HIPOCLORITO DE SODIO EN POZOS")</f>
        <v>LITROS DE HIPOCLORITO DE SODIO EN POZOS</v>
      </c>
      <c r="B22" s="46">
        <f ca="1">IFERROR(__xludf.DUMMYFUNCTION("""COMPUTED_VALUE"""),1)</f>
        <v>1</v>
      </c>
      <c r="C22" s="46"/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IFERROR(__xludf.DUMMYFUNCTION("""COMPUTED_VALUE"""),0)</f>
        <v>0</v>
      </c>
      <c r="G22" s="48">
        <f ca="1">IFERROR(__xludf.DUMMYFUNCTION("""COMPUTED_VALUE"""),95694)</f>
        <v>95694</v>
      </c>
      <c r="H22" s="48">
        <f ca="1">IFERROR(__xludf.DUMMYFUNCTION("""COMPUTED_VALUE"""),100068)</f>
        <v>100068</v>
      </c>
      <c r="I22" s="48">
        <f ca="1">IFERROR(__xludf.DUMMYFUNCTION("""COMPUTED_VALUE"""),0)</f>
        <v>0</v>
      </c>
      <c r="J22" s="48">
        <f ca="1">IFERROR(__xludf.DUMMYFUNCTION("""COMPUTED_VALUE"""),0)</f>
        <v>0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IFERROR(__xludf.DUMMYFUNCTION("""COMPUTED_VALUE"""),0)</f>
        <v>0</v>
      </c>
      <c r="N22" s="48">
        <f ca="1">IFERROR(__xludf.DUMMYFUNCTION("""COMPUTED_VALUE"""),0)</f>
        <v>0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IFERROR(__xludf.DUMMYFUNCTION("""COMPUTED_VALUE"""),195762)</f>
        <v>195762</v>
      </c>
    </row>
    <row r="23" spans="1:19">
      <c r="A23" s="46" t="str">
        <f ca="1">IFERROR(__xludf.DUMMYFUNCTION("""COMPUTED_VALUE""")," MANTENIMIENTO A PLANTAS TRATADORAS")</f>
        <v xml:space="preserve"> MANTENIMIENTO A PLANTAS TRATADORAS</v>
      </c>
      <c r="B23" s="46">
        <f ca="1">IFERROR(__xludf.DUMMYFUNCTION("""COMPUTED_VALUE"""),1)</f>
        <v>1</v>
      </c>
      <c r="C23" s="46"/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IFERROR(__xludf.DUMMYFUNCTION("""COMPUTED_VALUE"""),0)</f>
        <v>0</v>
      </c>
      <c r="G23" s="48">
        <f ca="1">IFERROR(__xludf.DUMMYFUNCTION("""COMPUTED_VALUE"""),10000)</f>
        <v>10000</v>
      </c>
      <c r="H23" s="48">
        <f ca="1">IFERROR(__xludf.DUMMYFUNCTION("""COMPUTED_VALUE"""),15250)</f>
        <v>15250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IFERROR(__xludf.DUMMYFUNCTION("""COMPUTED_VALUE"""),0)</f>
        <v>0</v>
      </c>
      <c r="N23" s="48">
        <f ca="1">IFERROR(__xludf.DUMMYFUNCTION("""COMPUTED_VALUE"""),0)</f>
        <v>0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IFERROR(__xludf.DUMMYFUNCTION("""COMPUTED_VALUE"""),0)</f>
        <v>0</v>
      </c>
      <c r="S23" s="48">
        <f ca="1">IFERROR(__xludf.DUMMYFUNCTION("""COMPUTED_VALUE"""),25250)</f>
        <v>25250</v>
      </c>
    </row>
    <row r="24" spans="1:19">
      <c r="A24" s="46" t="str">
        <f ca="1">IFERROR(__xludf.DUMMYFUNCTION("""COMPUTED_VALUE"""),"ACTIVIDADES EXTRAS (APOYO A EVENTOS, MANTENIMIENTO HÍDRICO DE EDIFICIOS PÚBLICOS)")</f>
        <v>ACTIVIDADES EXTRAS (APOYO A EVENTOS, MANTENIMIENTO HÍDRICO DE EDIFICIOS PÚBLICOS)</v>
      </c>
      <c r="B24" s="46">
        <f ca="1">IFERROR(__xludf.DUMMYFUNCTION("""COMPUTED_VALUE"""),1)</f>
        <v>1</v>
      </c>
      <c r="C24" s="46"/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IFERROR(__xludf.DUMMYFUNCTION("""COMPUTED_VALUE"""),0)</f>
        <v>0</v>
      </c>
      <c r="G24" s="48">
        <f ca="1">IFERROR(__xludf.DUMMYFUNCTION("""COMPUTED_VALUE"""),381)</f>
        <v>381</v>
      </c>
      <c r="H24" s="48">
        <f ca="1">IFERROR(__xludf.DUMMYFUNCTION("""COMPUTED_VALUE"""),352)</f>
        <v>352</v>
      </c>
      <c r="I24" s="48">
        <f ca="1">IFERROR(__xludf.DUMMYFUNCTION("""COMPUTED_VALUE"""),0)</f>
        <v>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IFERROR(__xludf.DUMMYFUNCTION("""COMPUTED_VALUE"""),0)</f>
        <v>0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IFERROR(__xludf.DUMMYFUNCTION("""COMPUTED_VALUE"""),733)</f>
        <v>733</v>
      </c>
    </row>
    <row r="25" spans="1:19">
      <c r="A25" s="46" t="str">
        <f ca="1">IFERROR(__xludf.DUMMYFUNCTION("""COMPUTED_VALUE"""),"ANALISIS FISICOQUÍMICOS")</f>
        <v>ANALISIS FISICOQUÍMICOS</v>
      </c>
      <c r="B25" s="46">
        <f ca="1">IFERROR(__xludf.DUMMYFUNCTION("""COMPUTED_VALUE"""),1)</f>
        <v>1</v>
      </c>
      <c r="C25" s="46"/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IFERROR(__xludf.DUMMYFUNCTION("""COMPUTED_VALUE"""),0)</f>
        <v>0</v>
      </c>
      <c r="G25" s="48">
        <f ca="1">IFERROR(__xludf.DUMMYFUNCTION("""COMPUTED_VALUE"""),2)</f>
        <v>2</v>
      </c>
      <c r="H25" s="48">
        <f ca="1">IFERROR(__xludf.DUMMYFUNCTION("""COMPUTED_VALUE"""),1)</f>
        <v>1</v>
      </c>
      <c r="I25" s="48">
        <f ca="1">IFERROR(__xludf.DUMMYFUNCTION("""COMPUTED_VALUE"""),0)</f>
        <v>0</v>
      </c>
      <c r="J25" s="48">
        <f ca="1">IFERROR(__xludf.DUMMYFUNCTION("""COMPUTED_VALUE"""),0)</f>
        <v>0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IFERROR(__xludf.DUMMYFUNCTION("""COMPUTED_VALUE"""),3)</f>
        <v>3</v>
      </c>
    </row>
    <row r="26" spans="1:19">
      <c r="A26" s="46" t="str">
        <f ca="1">IFERROR(__xludf.DUMMYFUNCTION("""COMPUTED_VALUE"""),"PODAS EN ESPACIOS PUBLICOS MUNICIPALES")</f>
        <v>PODAS EN ESPACIOS PUBLICOS MUNICIPALES</v>
      </c>
      <c r="B26" s="46">
        <f ca="1">IFERROR(__xludf.DUMMYFUNCTION("""COMPUTED_VALUE"""),1)</f>
        <v>1</v>
      </c>
      <c r="C26" s="46"/>
      <c r="D26" s="46" t="str">
        <f ca="1">IFERROR(__xludf.DUMMYFUNCTION("""COMPUTED_VALUE"""),"ASCENDENTE")</f>
        <v>ASCENDENTE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IFERROR(__xludf.DUMMYFUNCTION("""COMPUTED_VALUE"""),0)</f>
        <v>0</v>
      </c>
      <c r="G26" s="48">
        <f ca="1">IFERROR(__xludf.DUMMYFUNCTION("""COMPUTED_VALUE"""),0)</f>
        <v>0</v>
      </c>
      <c r="H26" s="48">
        <f ca="1">IFERROR(__xludf.DUMMYFUNCTION("""COMPUTED_VALUE"""),0)</f>
        <v>0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IFERROR(__xludf.DUMMYFUNCTION("""COMPUTED_VALUE"""),0)</f>
        <v>0</v>
      </c>
      <c r="L26" s="48">
        <f ca="1">IFERROR(__xludf.DUMMYFUNCTION("""COMPUTED_VALUE"""),0)</f>
        <v>0</v>
      </c>
      <c r="M26" s="48">
        <f ca="1">IFERROR(__xludf.DUMMYFUNCTION("""COMPUTED_VALUE"""),0)</f>
        <v>0</v>
      </c>
      <c r="N26" s="48">
        <f ca="1">IFERROR(__xludf.DUMMYFUNCTION("""COMPUTED_VALUE"""),0)</f>
        <v>0</v>
      </c>
      <c r="O26" s="48">
        <f ca="1">IFERROR(__xludf.DUMMYFUNCTION("""COMPUTED_VALUE"""),0)</f>
        <v>0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IFERROR(__xludf.DUMMYFUNCTION("""COMPUTED_VALUE"""),0)</f>
        <v>0</v>
      </c>
    </row>
    <row r="27" spans="1:19">
      <c r="A27" s="46" t="str">
        <f ca="1">IFERROR(__xludf.DUMMYFUNCTION("""COMPUTED_VALUE"""),"PODAS EN CARRETERAS Y CAMINOS")</f>
        <v>PODAS EN CARRETERAS Y CAMINOS</v>
      </c>
      <c r="B27" s="46">
        <f ca="1">IFERROR(__xludf.DUMMYFUNCTION("""COMPUTED_VALUE"""),1)</f>
        <v>1</v>
      </c>
      <c r="C27" s="46"/>
      <c r="D27" s="46" t="str">
        <f ca="1">IFERROR(__xludf.DUMMYFUNCTION("""COMPUTED_VALUE"""),"ASCENDENTE")</f>
        <v>ASCENDENTE</v>
      </c>
      <c r="E27" s="46" t="str">
        <f ca="1">IFERROR(__xludf.DUMMYFUNCTION("""COMPUTED_VALUE"""),"BITACORA OPERATIVA")</f>
        <v>BITACORA OPERATIVA</v>
      </c>
      <c r="F27" s="47">
        <f ca="1">IFERROR(__xludf.DUMMYFUNCTION("""COMPUTED_VALUE"""),0)</f>
        <v>0</v>
      </c>
      <c r="G27" s="48">
        <f ca="1">IFERROR(__xludf.DUMMYFUNCTION("""COMPUTED_VALUE"""),13)</f>
        <v>13</v>
      </c>
      <c r="H27" s="48">
        <f ca="1">IFERROR(__xludf.DUMMYFUNCTION("""COMPUTED_VALUE"""),9)</f>
        <v>9</v>
      </c>
      <c r="I27" s="48">
        <f ca="1">IFERROR(__xludf.DUMMYFUNCTION("""COMPUTED_VALUE"""),0)</f>
        <v>0</v>
      </c>
      <c r="J27" s="48">
        <f ca="1">IFERROR(__xludf.DUMMYFUNCTION("""COMPUTED_VALUE"""),0)</f>
        <v>0</v>
      </c>
      <c r="K27" s="48">
        <f ca="1">IFERROR(__xludf.DUMMYFUNCTION("""COMPUTED_VALUE"""),0)</f>
        <v>0</v>
      </c>
      <c r="L27" s="48">
        <f ca="1">IFERROR(__xludf.DUMMYFUNCTION("""COMPUTED_VALUE"""),0)</f>
        <v>0</v>
      </c>
      <c r="M27" s="48">
        <f ca="1">IFERROR(__xludf.DUMMYFUNCTION("""COMPUTED_VALUE"""),0)</f>
        <v>0</v>
      </c>
      <c r="N27" s="48">
        <f ca="1">IFERROR(__xludf.DUMMYFUNCTION("""COMPUTED_VALUE"""),0)</f>
        <v>0</v>
      </c>
      <c r="O27" s="48">
        <f ca="1">IFERROR(__xludf.DUMMYFUNCTION("""COMPUTED_VALUE"""),0)</f>
        <v>0</v>
      </c>
      <c r="P27" s="48">
        <f ca="1">IFERROR(__xludf.DUMMYFUNCTION("""COMPUTED_VALUE"""),0)</f>
        <v>0</v>
      </c>
      <c r="Q27" s="48">
        <f ca="1">IFERROR(__xludf.DUMMYFUNCTION("""COMPUTED_VALUE"""),0)</f>
        <v>0</v>
      </c>
      <c r="R27" s="48">
        <f ca="1">IFERROR(__xludf.DUMMYFUNCTION("""COMPUTED_VALUE"""),0)</f>
        <v>0</v>
      </c>
      <c r="S27" s="48">
        <f ca="1">IFERROR(__xludf.DUMMYFUNCTION("""COMPUTED_VALUE"""),22)</f>
        <v>22</v>
      </c>
    </row>
    <row r="28" spans="1:19">
      <c r="A28" s="46" t="str">
        <f ca="1">IFERROR(__xludf.DUMMYFUNCTION("""COMPUTED_VALUE"""),"PODAS EN CAMELLONES Y BANQUETAS DE CALLES")</f>
        <v>PODAS EN CAMELLONES Y BANQUETAS DE CALLES</v>
      </c>
      <c r="B28" s="46">
        <f ca="1">IFERROR(__xludf.DUMMYFUNCTION("""COMPUTED_VALUE"""),1)</f>
        <v>1</v>
      </c>
      <c r="C28" s="46"/>
      <c r="D28" s="46" t="str">
        <f ca="1">IFERROR(__xludf.DUMMYFUNCTION("""COMPUTED_VALUE"""),"ASCENDENTE")</f>
        <v>ASCENDENTE</v>
      </c>
      <c r="E28" s="46" t="str">
        <f ca="1">IFERROR(__xludf.DUMMYFUNCTION("""COMPUTED_VALUE"""),"BITACORA OPERATIVA")</f>
        <v>BITACORA OPERATIVA</v>
      </c>
      <c r="F28" s="47">
        <f ca="1">IFERROR(__xludf.DUMMYFUNCTION("""COMPUTED_VALUE"""),0)</f>
        <v>0</v>
      </c>
      <c r="G28" s="48">
        <f ca="1">IFERROR(__xludf.DUMMYFUNCTION("""COMPUTED_VALUE"""),20)</f>
        <v>20</v>
      </c>
      <c r="H28" s="48">
        <f ca="1">IFERROR(__xludf.DUMMYFUNCTION("""COMPUTED_VALUE"""),22)</f>
        <v>22</v>
      </c>
      <c r="I28" s="48">
        <f ca="1">IFERROR(__xludf.DUMMYFUNCTION("""COMPUTED_VALUE"""),0)</f>
        <v>0</v>
      </c>
      <c r="J28" s="48">
        <f ca="1">IFERROR(__xludf.DUMMYFUNCTION("""COMPUTED_VALUE"""),0)</f>
        <v>0</v>
      </c>
      <c r="K28" s="48">
        <f ca="1">IFERROR(__xludf.DUMMYFUNCTION("""COMPUTED_VALUE"""),0)</f>
        <v>0</v>
      </c>
      <c r="L28" s="48">
        <f ca="1">IFERROR(__xludf.DUMMYFUNCTION("""COMPUTED_VALUE"""),0)</f>
        <v>0</v>
      </c>
      <c r="M28" s="48">
        <f ca="1">IFERROR(__xludf.DUMMYFUNCTION("""COMPUTED_VALUE"""),0)</f>
        <v>0</v>
      </c>
      <c r="N28" s="48">
        <f ca="1">IFERROR(__xludf.DUMMYFUNCTION("""COMPUTED_VALUE"""),0)</f>
        <v>0</v>
      </c>
      <c r="O28" s="48">
        <f ca="1">IFERROR(__xludf.DUMMYFUNCTION("""COMPUTED_VALUE"""),0)</f>
        <v>0</v>
      </c>
      <c r="P28" s="48">
        <f ca="1">IFERROR(__xludf.DUMMYFUNCTION("""COMPUTED_VALUE"""),0)</f>
        <v>0</v>
      </c>
      <c r="Q28" s="48">
        <f ca="1">IFERROR(__xludf.DUMMYFUNCTION("""COMPUTED_VALUE"""),0)</f>
        <v>0</v>
      </c>
      <c r="R28" s="48">
        <f ca="1">IFERROR(__xludf.DUMMYFUNCTION("""COMPUTED_VALUE"""),0)</f>
        <v>0</v>
      </c>
      <c r="S28" s="48">
        <f ca="1">IFERROR(__xludf.DUMMYFUNCTION("""COMPUTED_VALUE"""),42)</f>
        <v>42</v>
      </c>
    </row>
    <row r="29" spans="1:19">
      <c r="A29" s="46" t="str">
        <f ca="1">IFERROR(__xludf.DUMMYFUNCTION("""COMPUTED_VALUE"""),"PODAS EN UNIDADES DEPORTIVAS Y CAMPOS DE FÚTBOL")</f>
        <v>PODAS EN UNIDADES DEPORTIVAS Y CAMPOS DE FÚTBOL</v>
      </c>
      <c r="B29" s="46">
        <f ca="1">IFERROR(__xludf.DUMMYFUNCTION("""COMPUTED_VALUE"""),1)</f>
        <v>1</v>
      </c>
      <c r="C29" s="46"/>
      <c r="D29" s="46" t="str">
        <f ca="1">IFERROR(__xludf.DUMMYFUNCTION("""COMPUTED_VALUE"""),"ASCENDENTE")</f>
        <v>ASCENDENTE</v>
      </c>
      <c r="E29" s="46" t="str">
        <f ca="1">IFERROR(__xludf.DUMMYFUNCTION("""COMPUTED_VALUE"""),"BITACORA OPERATIVA")</f>
        <v>BITACORA OPERATIVA</v>
      </c>
      <c r="F29" s="47">
        <f ca="1">IFERROR(__xludf.DUMMYFUNCTION("""COMPUTED_VALUE"""),0)</f>
        <v>0</v>
      </c>
      <c r="G29" s="48">
        <f ca="1">IFERROR(__xludf.DUMMYFUNCTION("""COMPUTED_VALUE"""),39)</f>
        <v>39</v>
      </c>
      <c r="H29" s="48">
        <f ca="1">IFERROR(__xludf.DUMMYFUNCTION("""COMPUTED_VALUE"""),34)</f>
        <v>34</v>
      </c>
      <c r="I29" s="48">
        <f ca="1">IFERROR(__xludf.DUMMYFUNCTION("""COMPUTED_VALUE"""),0)</f>
        <v>0</v>
      </c>
      <c r="J29" s="48">
        <f ca="1">IFERROR(__xludf.DUMMYFUNCTION("""COMPUTED_VALUE"""),0)</f>
        <v>0</v>
      </c>
      <c r="K29" s="48">
        <f ca="1">IFERROR(__xludf.DUMMYFUNCTION("""COMPUTED_VALUE"""),0)</f>
        <v>0</v>
      </c>
      <c r="L29" s="48">
        <f ca="1">IFERROR(__xludf.DUMMYFUNCTION("""COMPUTED_VALUE"""),0)</f>
        <v>0</v>
      </c>
      <c r="M29" s="48">
        <f ca="1">IFERROR(__xludf.DUMMYFUNCTION("""COMPUTED_VALUE"""),0)</f>
        <v>0</v>
      </c>
      <c r="N29" s="48">
        <f ca="1">IFERROR(__xludf.DUMMYFUNCTION("""COMPUTED_VALUE"""),0)</f>
        <v>0</v>
      </c>
      <c r="O29" s="48">
        <f ca="1">IFERROR(__xludf.DUMMYFUNCTION("""COMPUTED_VALUE"""),0)</f>
        <v>0</v>
      </c>
      <c r="P29" s="48">
        <f ca="1">IFERROR(__xludf.DUMMYFUNCTION("""COMPUTED_VALUE"""),0)</f>
        <v>0</v>
      </c>
      <c r="Q29" s="48">
        <f ca="1">IFERROR(__xludf.DUMMYFUNCTION("""COMPUTED_VALUE"""),0)</f>
        <v>0</v>
      </c>
      <c r="R29" s="48">
        <f ca="1">IFERROR(__xludf.DUMMYFUNCTION("""COMPUTED_VALUE"""),0)</f>
        <v>0</v>
      </c>
      <c r="S29" s="48">
        <f ca="1">IFERROR(__xludf.DUMMYFUNCTION("""COMPUTED_VALUE"""),73)</f>
        <v>73</v>
      </c>
    </row>
    <row r="30" spans="1:19">
      <c r="A30" s="46" t="str">
        <f ca="1">IFERROR(__xludf.DUMMYFUNCTION("""COMPUTED_VALUE"""),"PODAS DE ÁRBOLES")</f>
        <v>PODAS DE ÁRBOLES</v>
      </c>
      <c r="B30" s="46">
        <f ca="1">IFERROR(__xludf.DUMMYFUNCTION("""COMPUTED_VALUE"""),1)</f>
        <v>1</v>
      </c>
      <c r="C30" s="46"/>
      <c r="D30" s="46" t="str">
        <f ca="1">IFERROR(__xludf.DUMMYFUNCTION("""COMPUTED_VALUE"""),"ASCENDENTE")</f>
        <v>ASCENDENTE</v>
      </c>
      <c r="E30" s="46" t="str">
        <f ca="1">IFERROR(__xludf.DUMMYFUNCTION("""COMPUTED_VALUE"""),"BITACORA OPERATIVA")</f>
        <v>BITACORA OPERATIVA</v>
      </c>
      <c r="F30" s="47">
        <f ca="1">IFERROR(__xludf.DUMMYFUNCTION("""COMPUTED_VALUE"""),0)</f>
        <v>0</v>
      </c>
      <c r="G30" s="48">
        <f ca="1">IFERROR(__xludf.DUMMYFUNCTION("""COMPUTED_VALUE"""),1)</f>
        <v>1</v>
      </c>
      <c r="H30" s="48">
        <f ca="1">IFERROR(__xludf.DUMMYFUNCTION("""COMPUTED_VALUE"""),1)</f>
        <v>1</v>
      </c>
      <c r="I30" s="48">
        <f ca="1">IFERROR(__xludf.DUMMYFUNCTION("""COMPUTED_VALUE"""),0)</f>
        <v>0</v>
      </c>
      <c r="J30" s="48">
        <f ca="1">IFERROR(__xludf.DUMMYFUNCTION("""COMPUTED_VALUE"""),0)</f>
        <v>0</v>
      </c>
      <c r="K30" s="48">
        <f ca="1">IFERROR(__xludf.DUMMYFUNCTION("""COMPUTED_VALUE"""),0)</f>
        <v>0</v>
      </c>
      <c r="L30" s="48">
        <f ca="1">IFERROR(__xludf.DUMMYFUNCTION("""COMPUTED_VALUE"""),0)</f>
        <v>0</v>
      </c>
      <c r="M30" s="48">
        <f ca="1">IFERROR(__xludf.DUMMYFUNCTION("""COMPUTED_VALUE"""),0)</f>
        <v>0</v>
      </c>
      <c r="N30" s="48">
        <f ca="1">IFERROR(__xludf.DUMMYFUNCTION("""COMPUTED_VALUE"""),0)</f>
        <v>0</v>
      </c>
      <c r="O30" s="48">
        <f ca="1">IFERROR(__xludf.DUMMYFUNCTION("""COMPUTED_VALUE"""),0)</f>
        <v>0</v>
      </c>
      <c r="P30" s="48">
        <f ca="1">IFERROR(__xludf.DUMMYFUNCTION("""COMPUTED_VALUE"""),0)</f>
        <v>0</v>
      </c>
      <c r="Q30" s="48">
        <f ca="1">IFERROR(__xludf.DUMMYFUNCTION("""COMPUTED_VALUE"""),0)</f>
        <v>0</v>
      </c>
      <c r="R30" s="48">
        <f ca="1">IFERROR(__xludf.DUMMYFUNCTION("""COMPUTED_VALUE"""),0)</f>
        <v>0</v>
      </c>
      <c r="S30" s="48">
        <f ca="1">IFERROR(__xludf.DUMMYFUNCTION("""COMPUTED_VALUE"""),2)</f>
        <v>2</v>
      </c>
    </row>
    <row r="31" spans="1:19">
      <c r="A31" s="46" t="str">
        <f ca="1">IFERROR(__xludf.DUMMYFUNCTION("""COMPUTED_VALUE"""),"PODAS EN ESCUELAS")</f>
        <v>PODAS EN ESCUELAS</v>
      </c>
      <c r="B31" s="46">
        <f ca="1">IFERROR(__xludf.DUMMYFUNCTION("""COMPUTED_VALUE"""),1)</f>
        <v>1</v>
      </c>
      <c r="C31" s="46"/>
      <c r="D31" s="46" t="str">
        <f ca="1">IFERROR(__xludf.DUMMYFUNCTION("""COMPUTED_VALUE"""),"ASCENDENTE")</f>
        <v>ASCENDENTE</v>
      </c>
      <c r="E31" s="46" t="str">
        <f ca="1">IFERROR(__xludf.DUMMYFUNCTION("""COMPUTED_VALUE"""),"BITACORA OPERATIVA")</f>
        <v>BITACORA OPERATIVA</v>
      </c>
      <c r="F31" s="47">
        <f ca="1">IFERROR(__xludf.DUMMYFUNCTION("""COMPUTED_VALUE"""),0)</f>
        <v>0</v>
      </c>
      <c r="G31" s="48">
        <f ca="1">IFERROR(__xludf.DUMMYFUNCTION("""COMPUTED_VALUE"""),14)</f>
        <v>14</v>
      </c>
      <c r="H31" s="48">
        <f ca="1">IFERROR(__xludf.DUMMYFUNCTION("""COMPUTED_VALUE"""),12)</f>
        <v>12</v>
      </c>
      <c r="I31" s="48">
        <f ca="1">IFERROR(__xludf.DUMMYFUNCTION("""COMPUTED_VALUE"""),0)</f>
        <v>0</v>
      </c>
      <c r="J31" s="48">
        <f ca="1">IFERROR(__xludf.DUMMYFUNCTION("""COMPUTED_VALUE"""),0)</f>
        <v>0</v>
      </c>
      <c r="K31" s="48">
        <f ca="1">IFERROR(__xludf.DUMMYFUNCTION("""COMPUTED_VALUE"""),0)</f>
        <v>0</v>
      </c>
      <c r="L31" s="48">
        <f ca="1">IFERROR(__xludf.DUMMYFUNCTION("""COMPUTED_VALUE"""),0)</f>
        <v>0</v>
      </c>
      <c r="M31" s="48">
        <f ca="1">IFERROR(__xludf.DUMMYFUNCTION("""COMPUTED_VALUE"""),0)</f>
        <v>0</v>
      </c>
      <c r="N31" s="48">
        <f ca="1">IFERROR(__xludf.DUMMYFUNCTION("""COMPUTED_VALUE"""),0)</f>
        <v>0</v>
      </c>
      <c r="O31" s="48">
        <f ca="1">IFERROR(__xludf.DUMMYFUNCTION("""COMPUTED_VALUE"""),0)</f>
        <v>0</v>
      </c>
      <c r="P31" s="48">
        <f ca="1">IFERROR(__xludf.DUMMYFUNCTION("""COMPUTED_VALUE"""),0)</f>
        <v>0</v>
      </c>
      <c r="Q31" s="48">
        <f ca="1">IFERROR(__xludf.DUMMYFUNCTION("""COMPUTED_VALUE"""),0)</f>
        <v>0</v>
      </c>
      <c r="R31" s="48">
        <f ca="1">IFERROR(__xludf.DUMMYFUNCTION("""COMPUTED_VALUE"""),0)</f>
        <v>0</v>
      </c>
      <c r="S31" s="48">
        <f ca="1">IFERROR(__xludf.DUMMYFUNCTION("""COMPUTED_VALUE"""),26)</f>
        <v>26</v>
      </c>
    </row>
    <row r="32" spans="1:19">
      <c r="A32" s="46" t="str">
        <f ca="1">IFERROR(__xludf.DUMMYFUNCTION("""COMPUTED_VALUE"""),"SACRIFICIO DE RESES ")</f>
        <v xml:space="preserve">SACRIFICIO DE RESES </v>
      </c>
      <c r="B32" s="46">
        <f ca="1">IFERROR(__xludf.DUMMYFUNCTION("""COMPUTED_VALUE"""),1)</f>
        <v>1</v>
      </c>
      <c r="C32" s="46"/>
      <c r="D32" s="46" t="str">
        <f ca="1">IFERROR(__xludf.DUMMYFUNCTION("""COMPUTED_VALUE"""),"ASCENDENTE")</f>
        <v>ASCENDENTE</v>
      </c>
      <c r="E32" s="46" t="str">
        <f ca="1">IFERROR(__xludf.DUMMYFUNCTION("""COMPUTED_VALUE"""),"BITACORA OPERATIVA")</f>
        <v>BITACORA OPERATIVA</v>
      </c>
      <c r="F32" s="47">
        <f ca="1">IFERROR(__xludf.DUMMYFUNCTION("""COMPUTED_VALUE"""),0)</f>
        <v>0</v>
      </c>
      <c r="G32" s="48">
        <f ca="1">IFERROR(__xludf.DUMMYFUNCTION("""COMPUTED_VALUE"""),159)</f>
        <v>159</v>
      </c>
      <c r="H32" s="48">
        <f ca="1">IFERROR(__xludf.DUMMYFUNCTION("""COMPUTED_VALUE"""),121)</f>
        <v>121</v>
      </c>
      <c r="I32" s="48">
        <f ca="1">IFERROR(__xludf.DUMMYFUNCTION("""COMPUTED_VALUE"""),0)</f>
        <v>0</v>
      </c>
      <c r="J32" s="48">
        <f ca="1">IFERROR(__xludf.DUMMYFUNCTION("""COMPUTED_VALUE"""),0)</f>
        <v>0</v>
      </c>
      <c r="K32" s="48">
        <f ca="1">IFERROR(__xludf.DUMMYFUNCTION("""COMPUTED_VALUE"""),0)</f>
        <v>0</v>
      </c>
      <c r="L32" s="48">
        <f ca="1">IFERROR(__xludf.DUMMYFUNCTION("""COMPUTED_VALUE"""),0)</f>
        <v>0</v>
      </c>
      <c r="M32" s="48">
        <f ca="1">IFERROR(__xludf.DUMMYFUNCTION("""COMPUTED_VALUE"""),0)</f>
        <v>0</v>
      </c>
      <c r="N32" s="48">
        <f ca="1">IFERROR(__xludf.DUMMYFUNCTION("""COMPUTED_VALUE"""),0)</f>
        <v>0</v>
      </c>
      <c r="O32" s="48">
        <f ca="1">IFERROR(__xludf.DUMMYFUNCTION("""COMPUTED_VALUE"""),0)</f>
        <v>0</v>
      </c>
      <c r="P32" s="48">
        <f ca="1">IFERROR(__xludf.DUMMYFUNCTION("""COMPUTED_VALUE"""),0)</f>
        <v>0</v>
      </c>
      <c r="Q32" s="48">
        <f ca="1">IFERROR(__xludf.DUMMYFUNCTION("""COMPUTED_VALUE"""),0)</f>
        <v>0</v>
      </c>
      <c r="R32" s="48">
        <f ca="1">IFERROR(__xludf.DUMMYFUNCTION("""COMPUTED_VALUE"""),0)</f>
        <v>0</v>
      </c>
      <c r="S32" s="48">
        <f ca="1">IFERROR(__xludf.DUMMYFUNCTION("""COMPUTED_VALUE"""),280)</f>
        <v>280</v>
      </c>
    </row>
    <row r="33" spans="1:19">
      <c r="A33" s="46" t="str">
        <f ca="1">IFERROR(__xludf.DUMMYFUNCTION("""COMPUTED_VALUE"""),"SACRIFICIOS DE CERDOS")</f>
        <v>SACRIFICIOS DE CERDOS</v>
      </c>
      <c r="B33" s="46">
        <f ca="1">IFERROR(__xludf.DUMMYFUNCTION("""COMPUTED_VALUE"""),1)</f>
        <v>1</v>
      </c>
      <c r="C33" s="46"/>
      <c r="D33" s="46" t="str">
        <f ca="1">IFERROR(__xludf.DUMMYFUNCTION("""COMPUTED_VALUE"""),"ASCENDENTE")</f>
        <v>ASCENDENTE</v>
      </c>
      <c r="E33" s="46" t="str">
        <f ca="1">IFERROR(__xludf.DUMMYFUNCTION("""COMPUTED_VALUE"""),"BITACORA OPERATIVA")</f>
        <v>BITACORA OPERATIVA</v>
      </c>
      <c r="F33" s="47">
        <f ca="1">IFERROR(__xludf.DUMMYFUNCTION("""COMPUTED_VALUE"""),0)</f>
        <v>0</v>
      </c>
      <c r="G33" s="48">
        <f ca="1">IFERROR(__xludf.DUMMYFUNCTION("""COMPUTED_VALUE"""),335)</f>
        <v>335</v>
      </c>
      <c r="H33" s="48">
        <f ca="1">IFERROR(__xludf.DUMMYFUNCTION("""COMPUTED_VALUE"""),437)</f>
        <v>437</v>
      </c>
      <c r="I33" s="48">
        <f ca="1">IFERROR(__xludf.DUMMYFUNCTION("""COMPUTED_VALUE"""),0)</f>
        <v>0</v>
      </c>
      <c r="J33" s="48">
        <f ca="1">IFERROR(__xludf.DUMMYFUNCTION("""COMPUTED_VALUE"""),0)</f>
        <v>0</v>
      </c>
      <c r="K33" s="48">
        <f ca="1">IFERROR(__xludf.DUMMYFUNCTION("""COMPUTED_VALUE"""),0)</f>
        <v>0</v>
      </c>
      <c r="L33" s="48">
        <f ca="1">IFERROR(__xludf.DUMMYFUNCTION("""COMPUTED_VALUE"""),0)</f>
        <v>0</v>
      </c>
      <c r="M33" s="48">
        <f ca="1">IFERROR(__xludf.DUMMYFUNCTION("""COMPUTED_VALUE"""),0)</f>
        <v>0</v>
      </c>
      <c r="N33" s="48">
        <f ca="1">IFERROR(__xludf.DUMMYFUNCTION("""COMPUTED_VALUE"""),0)</f>
        <v>0</v>
      </c>
      <c r="O33" s="48">
        <f ca="1">IFERROR(__xludf.DUMMYFUNCTION("""COMPUTED_VALUE"""),0)</f>
        <v>0</v>
      </c>
      <c r="P33" s="48">
        <f ca="1">IFERROR(__xludf.DUMMYFUNCTION("""COMPUTED_VALUE"""),0)</f>
        <v>0</v>
      </c>
      <c r="Q33" s="48">
        <f ca="1">IFERROR(__xludf.DUMMYFUNCTION("""COMPUTED_VALUE"""),0)</f>
        <v>0</v>
      </c>
      <c r="R33" s="48">
        <f ca="1">IFERROR(__xludf.DUMMYFUNCTION("""COMPUTED_VALUE"""),0)</f>
        <v>0</v>
      </c>
      <c r="S33" s="48">
        <f ca="1">IFERROR(__xludf.DUMMYFUNCTION("""COMPUTED_VALUE"""),772)</f>
        <v>772</v>
      </c>
    </row>
    <row r="34" spans="1:19">
      <c r="A34" s="46" t="str">
        <f ca="1">IFERROR(__xludf.DUMMYFUNCTION("""COMPUTED_VALUE"""),"TOTAL DE ANIMALES RESGUARDADOS")</f>
        <v>TOTAL DE ANIMALES RESGUARDADOS</v>
      </c>
      <c r="B34" s="46">
        <f ca="1">IFERROR(__xludf.DUMMYFUNCTION("""COMPUTED_VALUE"""),1)</f>
        <v>1</v>
      </c>
      <c r="C34" s="46"/>
      <c r="D34" s="46" t="str">
        <f ca="1">IFERROR(__xludf.DUMMYFUNCTION("""COMPUTED_VALUE"""),"ASCENDENTE")</f>
        <v>ASCENDENTE</v>
      </c>
      <c r="E34" s="46" t="str">
        <f ca="1">IFERROR(__xludf.DUMMYFUNCTION("""COMPUTED_VALUE"""),"BITACORA OPERATIVA")</f>
        <v>BITACORA OPERATIVA</v>
      </c>
      <c r="F34" s="47">
        <f ca="1">IFERROR(__xludf.DUMMYFUNCTION("""COMPUTED_VALUE"""),0)</f>
        <v>0</v>
      </c>
      <c r="G34" s="48">
        <f ca="1">IFERROR(__xludf.DUMMYFUNCTION("""COMPUTED_VALUE"""),494)</f>
        <v>494</v>
      </c>
      <c r="H34" s="48">
        <f ca="1">IFERROR(__xludf.DUMMYFUNCTION("""COMPUTED_VALUE"""),558)</f>
        <v>558</v>
      </c>
      <c r="I34" s="48">
        <f ca="1">IFERROR(__xludf.DUMMYFUNCTION("""COMPUTED_VALUE"""),0)</f>
        <v>0</v>
      </c>
      <c r="J34" s="48">
        <f ca="1">IFERROR(__xludf.DUMMYFUNCTION("""COMPUTED_VALUE"""),0)</f>
        <v>0</v>
      </c>
      <c r="K34" s="48">
        <f ca="1">IFERROR(__xludf.DUMMYFUNCTION("""COMPUTED_VALUE"""),0)</f>
        <v>0</v>
      </c>
      <c r="L34" s="48">
        <f ca="1">IFERROR(__xludf.DUMMYFUNCTION("""COMPUTED_VALUE"""),0)</f>
        <v>0</v>
      </c>
      <c r="M34" s="48">
        <f ca="1">IFERROR(__xludf.DUMMYFUNCTION("""COMPUTED_VALUE"""),0)</f>
        <v>0</v>
      </c>
      <c r="N34" s="48">
        <f ca="1">IFERROR(__xludf.DUMMYFUNCTION("""COMPUTED_VALUE"""),0)</f>
        <v>0</v>
      </c>
      <c r="O34" s="48">
        <f ca="1">IFERROR(__xludf.DUMMYFUNCTION("""COMPUTED_VALUE"""),0)</f>
        <v>0</v>
      </c>
      <c r="P34" s="48">
        <f ca="1">IFERROR(__xludf.DUMMYFUNCTION("""COMPUTED_VALUE"""),0)</f>
        <v>0</v>
      </c>
      <c r="Q34" s="48">
        <f ca="1">IFERROR(__xludf.DUMMYFUNCTION("""COMPUTED_VALUE"""),0)</f>
        <v>0</v>
      </c>
      <c r="R34" s="48">
        <f ca="1">IFERROR(__xludf.DUMMYFUNCTION("""COMPUTED_VALUE"""),0)</f>
        <v>0</v>
      </c>
      <c r="S34" s="48">
        <f ca="1">IFERROR(__xludf.DUMMYFUNCTION("""COMPUTED_VALUE"""),1052)</f>
        <v>1052</v>
      </c>
    </row>
    <row r="35" spans="1:19">
      <c r="A35" s="46" t="str">
        <f ca="1">IFERROR(__xludf.DUMMYFUNCTION("""COMPUTED_VALUE"""),"DECOMISOS (KG)")</f>
        <v>DECOMISOS (KG)</v>
      </c>
      <c r="B35" s="46">
        <f ca="1">IFERROR(__xludf.DUMMYFUNCTION("""COMPUTED_VALUE"""),1)</f>
        <v>1</v>
      </c>
      <c r="C35" s="46"/>
      <c r="D35" s="46" t="str">
        <f ca="1">IFERROR(__xludf.DUMMYFUNCTION("""COMPUTED_VALUE"""),"ASCENDENTE")</f>
        <v>ASCENDENTE</v>
      </c>
      <c r="E35" s="46" t="str">
        <f ca="1">IFERROR(__xludf.DUMMYFUNCTION("""COMPUTED_VALUE"""),"BITACORA OPERATIVA")</f>
        <v>BITACORA OPERATIVA</v>
      </c>
      <c r="F35" s="47">
        <f ca="1">IFERROR(__xludf.DUMMYFUNCTION("""COMPUTED_VALUE"""),0)</f>
        <v>0</v>
      </c>
      <c r="G35" s="48">
        <f ca="1">IFERROR(__xludf.DUMMYFUNCTION("""COMPUTED_VALUE"""),6800)</f>
        <v>6800</v>
      </c>
      <c r="H35" s="48">
        <f ca="1">IFERROR(__xludf.DUMMYFUNCTION("""COMPUTED_VALUE"""),9900)</f>
        <v>9900</v>
      </c>
      <c r="I35" s="48">
        <f ca="1">IFERROR(__xludf.DUMMYFUNCTION("""COMPUTED_VALUE"""),0)</f>
        <v>0</v>
      </c>
      <c r="J35" s="48">
        <f ca="1">IFERROR(__xludf.DUMMYFUNCTION("""COMPUTED_VALUE"""),0)</f>
        <v>0</v>
      </c>
      <c r="K35" s="48">
        <f ca="1">IFERROR(__xludf.DUMMYFUNCTION("""COMPUTED_VALUE"""),0)</f>
        <v>0</v>
      </c>
      <c r="L35" s="48">
        <f ca="1">IFERROR(__xludf.DUMMYFUNCTION("""COMPUTED_VALUE"""),0)</f>
        <v>0</v>
      </c>
      <c r="M35" s="48">
        <f ca="1">IFERROR(__xludf.DUMMYFUNCTION("""COMPUTED_VALUE"""),0)</f>
        <v>0</v>
      </c>
      <c r="N35" s="48">
        <f ca="1">IFERROR(__xludf.DUMMYFUNCTION("""COMPUTED_VALUE"""),0)</f>
        <v>0</v>
      </c>
      <c r="O35" s="48">
        <f ca="1">IFERROR(__xludf.DUMMYFUNCTION("""COMPUTED_VALUE"""),0)</f>
        <v>0</v>
      </c>
      <c r="P35" s="48">
        <f ca="1">IFERROR(__xludf.DUMMYFUNCTION("""COMPUTED_VALUE"""),0)</f>
        <v>0</v>
      </c>
      <c r="Q35" s="48">
        <f ca="1">IFERROR(__xludf.DUMMYFUNCTION("""COMPUTED_VALUE"""),0)</f>
        <v>0</v>
      </c>
      <c r="R35" s="48">
        <f ca="1">IFERROR(__xludf.DUMMYFUNCTION("""COMPUTED_VALUE"""),0)</f>
        <v>0</v>
      </c>
      <c r="S35" s="48">
        <f ca="1">IFERROR(__xludf.DUMMYFUNCTION("""COMPUTED_VALUE"""),16700)</f>
        <v>16700</v>
      </c>
    </row>
    <row r="36" spans="1:19">
      <c r="A36" s="46" t="str">
        <f ca="1">IFERROR(__xludf.DUMMYFUNCTION("""COMPUTED_VALUE"""),"TOTAL DE ANIMALES DECOMISADOS")</f>
        <v>TOTAL DE ANIMALES DECOMISADOS</v>
      </c>
      <c r="B36" s="46">
        <f ca="1">IFERROR(__xludf.DUMMYFUNCTION("""COMPUTED_VALUE"""),1)</f>
        <v>1</v>
      </c>
      <c r="C36" s="46"/>
      <c r="D36" s="46" t="str">
        <f ca="1">IFERROR(__xludf.DUMMYFUNCTION("""COMPUTED_VALUE"""),"ASCENDENTE")</f>
        <v>ASCENDENTE</v>
      </c>
      <c r="E36" s="46" t="str">
        <f ca="1">IFERROR(__xludf.DUMMYFUNCTION("""COMPUTED_VALUE"""),"BITACORA OPERATIVA")</f>
        <v>BITACORA OPERATIVA</v>
      </c>
      <c r="F36" s="47">
        <f ca="1">IFERROR(__xludf.DUMMYFUNCTION("""COMPUTED_VALUE"""),0)</f>
        <v>0</v>
      </c>
      <c r="G36" s="48">
        <f ca="1">IFERROR(__xludf.DUMMYFUNCTION("""COMPUTED_VALUE"""),0)</f>
        <v>0</v>
      </c>
      <c r="H36" s="48">
        <f ca="1">IFERROR(__xludf.DUMMYFUNCTION("""COMPUTED_VALUE"""),2)</f>
        <v>2</v>
      </c>
      <c r="I36" s="48">
        <f ca="1">IFERROR(__xludf.DUMMYFUNCTION("""COMPUTED_VALUE"""),0)</f>
        <v>0</v>
      </c>
      <c r="J36" s="48">
        <f ca="1">IFERROR(__xludf.DUMMYFUNCTION("""COMPUTED_VALUE"""),0)</f>
        <v>0</v>
      </c>
      <c r="K36" s="48">
        <f ca="1">IFERROR(__xludf.DUMMYFUNCTION("""COMPUTED_VALUE"""),0)</f>
        <v>0</v>
      </c>
      <c r="L36" s="48">
        <f ca="1">IFERROR(__xludf.DUMMYFUNCTION("""COMPUTED_VALUE"""),0)</f>
        <v>0</v>
      </c>
      <c r="M36" s="48">
        <f ca="1">IFERROR(__xludf.DUMMYFUNCTION("""COMPUTED_VALUE"""),0)</f>
        <v>0</v>
      </c>
      <c r="N36" s="48">
        <f ca="1">IFERROR(__xludf.DUMMYFUNCTION("""COMPUTED_VALUE"""),0)</f>
        <v>0</v>
      </c>
      <c r="O36" s="48">
        <f ca="1">IFERROR(__xludf.DUMMYFUNCTION("""COMPUTED_VALUE"""),0)</f>
        <v>0</v>
      </c>
      <c r="P36" s="48">
        <f ca="1">IFERROR(__xludf.DUMMYFUNCTION("""COMPUTED_VALUE"""),0)</f>
        <v>0</v>
      </c>
      <c r="Q36" s="48">
        <f ca="1">IFERROR(__xludf.DUMMYFUNCTION("""COMPUTED_VALUE"""),0)</f>
        <v>0</v>
      </c>
      <c r="R36" s="48">
        <f ca="1">IFERROR(__xludf.DUMMYFUNCTION("""COMPUTED_VALUE"""),0)</f>
        <v>0</v>
      </c>
      <c r="S36" s="48">
        <f ca="1">IFERROR(__xludf.DUMMYFUNCTION("""COMPUTED_VALUE"""),2)</f>
        <v>2</v>
      </c>
    </row>
    <row r="37" spans="1:19">
      <c r="A37" s="46" t="str">
        <f ca="1">IFERROR(__xludf.DUMMYFUNCTION("""COMPUTED_VALUE"""),"NÚMERO DE REPORTES ATENDIDOS")</f>
        <v>NÚMERO DE REPORTES ATENDIDOS</v>
      </c>
      <c r="B37" s="46">
        <f ca="1">IFERROR(__xludf.DUMMYFUNCTION("""COMPUTED_VALUE"""),1)</f>
        <v>1</v>
      </c>
      <c r="C37" s="46"/>
      <c r="D37" s="46" t="str">
        <f ca="1">IFERROR(__xludf.DUMMYFUNCTION("""COMPUTED_VALUE"""),"ASCENDENTE")</f>
        <v>ASCENDENTE</v>
      </c>
      <c r="E37" s="46" t="str">
        <f ca="1">IFERROR(__xludf.DUMMYFUNCTION("""COMPUTED_VALUE"""),"BITACORA OPERATIVA")</f>
        <v>BITACORA OPERATIVA</v>
      </c>
      <c r="F37" s="47">
        <f ca="1">IFERROR(__xludf.DUMMYFUNCTION("""COMPUTED_VALUE"""),0)</f>
        <v>0</v>
      </c>
      <c r="G37" s="48">
        <f ca="1">IFERROR(__xludf.DUMMYFUNCTION("""COMPUTED_VALUE"""),0)</f>
        <v>0</v>
      </c>
      <c r="H37" s="48">
        <f ca="1">IFERROR(__xludf.DUMMYFUNCTION("""COMPUTED_VALUE"""),0)</f>
        <v>0</v>
      </c>
      <c r="I37" s="48">
        <f ca="1">IFERROR(__xludf.DUMMYFUNCTION("""COMPUTED_VALUE"""),0)</f>
        <v>0</v>
      </c>
      <c r="J37" s="48">
        <f ca="1">IFERROR(__xludf.DUMMYFUNCTION("""COMPUTED_VALUE"""),0)</f>
        <v>0</v>
      </c>
      <c r="K37" s="48">
        <f ca="1">IFERROR(__xludf.DUMMYFUNCTION("""COMPUTED_VALUE"""),0)</f>
        <v>0</v>
      </c>
      <c r="L37" s="48">
        <f ca="1">IFERROR(__xludf.DUMMYFUNCTION("""COMPUTED_VALUE"""),0)</f>
        <v>0</v>
      </c>
      <c r="M37" s="48">
        <f ca="1">IFERROR(__xludf.DUMMYFUNCTION("""COMPUTED_VALUE"""),0)</f>
        <v>0</v>
      </c>
      <c r="N37" s="48">
        <f ca="1">IFERROR(__xludf.DUMMYFUNCTION("""COMPUTED_VALUE"""),0)</f>
        <v>0</v>
      </c>
      <c r="O37" s="48">
        <f ca="1">IFERROR(__xludf.DUMMYFUNCTION("""COMPUTED_VALUE"""),0)</f>
        <v>0</v>
      </c>
      <c r="P37" s="48">
        <f ca="1">IFERROR(__xludf.DUMMYFUNCTION("""COMPUTED_VALUE"""),0)</f>
        <v>0</v>
      </c>
      <c r="Q37" s="48">
        <f ca="1">IFERROR(__xludf.DUMMYFUNCTION("""COMPUTED_VALUE"""),0)</f>
        <v>0</v>
      </c>
      <c r="R37" s="48">
        <f ca="1">IFERROR(__xludf.DUMMYFUNCTION("""COMPUTED_VALUE"""),0)</f>
        <v>0</v>
      </c>
      <c r="S37" s="48">
        <f ca="1">IFERROR(__xludf.DUMMYFUNCTION("""COMPUTED_VALUE"""),0)</f>
        <v>0</v>
      </c>
    </row>
    <row r="38" spans="1:19">
      <c r="A38" s="46" t="str">
        <f ca="1">IFERROR(__xludf.DUMMYFUNCTION("""COMPUTED_VALUE"""),"NÚMERO DE INSPECCIONES")</f>
        <v>NÚMERO DE INSPECCIONES</v>
      </c>
      <c r="B38" s="46">
        <f ca="1">IFERROR(__xludf.DUMMYFUNCTION("""COMPUTED_VALUE"""),1)</f>
        <v>1</v>
      </c>
      <c r="C38" s="46"/>
      <c r="D38" s="46" t="str">
        <f ca="1">IFERROR(__xludf.DUMMYFUNCTION("""COMPUTED_VALUE"""),"ASCENDENTE")</f>
        <v>ASCENDENTE</v>
      </c>
      <c r="E38" s="46" t="str">
        <f ca="1">IFERROR(__xludf.DUMMYFUNCTION("""COMPUTED_VALUE"""),"BITACORA OPERATIVA")</f>
        <v>BITACORA OPERATIVA</v>
      </c>
      <c r="F38" s="47">
        <f ca="1">IFERROR(__xludf.DUMMYFUNCTION("""COMPUTED_VALUE"""),0)</f>
        <v>0</v>
      </c>
      <c r="G38" s="48">
        <f ca="1">IFERROR(__xludf.DUMMYFUNCTION("""COMPUTED_VALUE"""),100)</f>
        <v>100</v>
      </c>
      <c r="H38" s="48">
        <f ca="1">IFERROR(__xludf.DUMMYFUNCTION("""COMPUTED_VALUE"""),360)</f>
        <v>360</v>
      </c>
      <c r="I38" s="48">
        <f ca="1">IFERROR(__xludf.DUMMYFUNCTION("""COMPUTED_VALUE"""),0)</f>
        <v>0</v>
      </c>
      <c r="J38" s="48">
        <f ca="1">IFERROR(__xludf.DUMMYFUNCTION("""COMPUTED_VALUE"""),0)</f>
        <v>0</v>
      </c>
      <c r="K38" s="48">
        <f ca="1">IFERROR(__xludf.DUMMYFUNCTION("""COMPUTED_VALUE"""),0)</f>
        <v>0</v>
      </c>
      <c r="L38" s="48">
        <f ca="1">IFERROR(__xludf.DUMMYFUNCTION("""COMPUTED_VALUE"""),0)</f>
        <v>0</v>
      </c>
      <c r="M38" s="48">
        <f ca="1">IFERROR(__xludf.DUMMYFUNCTION("""COMPUTED_VALUE"""),0)</f>
        <v>0</v>
      </c>
      <c r="N38" s="48">
        <f ca="1">IFERROR(__xludf.DUMMYFUNCTION("""COMPUTED_VALUE"""),0)</f>
        <v>0</v>
      </c>
      <c r="O38" s="48">
        <f ca="1">IFERROR(__xludf.DUMMYFUNCTION("""COMPUTED_VALUE"""),0)</f>
        <v>0</v>
      </c>
      <c r="P38" s="48">
        <f ca="1">IFERROR(__xludf.DUMMYFUNCTION("""COMPUTED_VALUE"""),0)</f>
        <v>0</v>
      </c>
      <c r="Q38" s="48">
        <f ca="1">IFERROR(__xludf.DUMMYFUNCTION("""COMPUTED_VALUE"""),0)</f>
        <v>0</v>
      </c>
      <c r="R38" s="48">
        <f ca="1">IFERROR(__xludf.DUMMYFUNCTION("""COMPUTED_VALUE"""),0)</f>
        <v>0</v>
      </c>
      <c r="S38" s="48">
        <f ca="1">IFERROR(__xludf.DUMMYFUNCTION("""COMPUTED_VALUE"""),460)</f>
        <v>460</v>
      </c>
    </row>
    <row r="39" spans="1:19">
      <c r="A39" s="46" t="str">
        <f ca="1">IFERROR(__xludf.DUMMYFUNCTION("""COMPUTED_VALUE"""),"OBRADORES")</f>
        <v>OBRADORES</v>
      </c>
      <c r="B39" s="46">
        <f ca="1">IFERROR(__xludf.DUMMYFUNCTION("""COMPUTED_VALUE"""),1)</f>
        <v>1</v>
      </c>
      <c r="C39" s="46"/>
      <c r="D39" s="46" t="str">
        <f ca="1">IFERROR(__xludf.DUMMYFUNCTION("""COMPUTED_VALUE"""),"ASCENDENTE")</f>
        <v>ASCENDENTE</v>
      </c>
      <c r="E39" s="46" t="str">
        <f ca="1">IFERROR(__xludf.DUMMYFUNCTION("""COMPUTED_VALUE"""),"BITACORA OPERATIVA")</f>
        <v>BITACORA OPERATIVA</v>
      </c>
      <c r="F39" s="47">
        <f ca="1">IFERROR(__xludf.DUMMYFUNCTION("""COMPUTED_VALUE"""),0)</f>
        <v>0</v>
      </c>
      <c r="G39" s="48">
        <f ca="1">IFERROR(__xludf.DUMMYFUNCTION("""COMPUTED_VALUE"""),350)</f>
        <v>350</v>
      </c>
      <c r="H39" s="48">
        <f ca="1">IFERROR(__xludf.DUMMYFUNCTION("""COMPUTED_VALUE"""),120)</f>
        <v>120</v>
      </c>
      <c r="I39" s="48">
        <f ca="1">IFERROR(__xludf.DUMMYFUNCTION("""COMPUTED_VALUE"""),0)</f>
        <v>0</v>
      </c>
      <c r="J39" s="48">
        <f ca="1">IFERROR(__xludf.DUMMYFUNCTION("""COMPUTED_VALUE"""),0)</f>
        <v>0</v>
      </c>
      <c r="K39" s="48">
        <f ca="1">IFERROR(__xludf.DUMMYFUNCTION("""COMPUTED_VALUE"""),0)</f>
        <v>0</v>
      </c>
      <c r="L39" s="48">
        <f ca="1">IFERROR(__xludf.DUMMYFUNCTION("""COMPUTED_VALUE"""),0)</f>
        <v>0</v>
      </c>
      <c r="M39" s="48">
        <f ca="1">IFERROR(__xludf.DUMMYFUNCTION("""COMPUTED_VALUE"""),0)</f>
        <v>0</v>
      </c>
      <c r="N39" s="48">
        <f ca="1">IFERROR(__xludf.DUMMYFUNCTION("""COMPUTED_VALUE"""),0)</f>
        <v>0</v>
      </c>
      <c r="O39" s="48">
        <f ca="1">IFERROR(__xludf.DUMMYFUNCTION("""COMPUTED_VALUE"""),0)</f>
        <v>0</v>
      </c>
      <c r="P39" s="48">
        <f ca="1">IFERROR(__xludf.DUMMYFUNCTION("""COMPUTED_VALUE"""),0)</f>
        <v>0</v>
      </c>
      <c r="Q39" s="48">
        <f ca="1">IFERROR(__xludf.DUMMYFUNCTION("""COMPUTED_VALUE"""),0)</f>
        <v>0</v>
      </c>
      <c r="R39" s="48">
        <f ca="1">IFERROR(__xludf.DUMMYFUNCTION("""COMPUTED_VALUE"""),0)</f>
        <v>0</v>
      </c>
      <c r="S39" s="48">
        <f ca="1">IFERROR(__xludf.DUMMYFUNCTION("""COMPUTED_VALUE"""),470)</f>
        <v>470</v>
      </c>
    </row>
    <row r="40" spans="1:19">
      <c r="A40" s="46" t="str">
        <f ca="1">IFERROR(__xludf.DUMMYFUNCTION("""COMPUTED_VALUE"""),"POLLERIAS ")</f>
        <v xml:space="preserve">POLLERIAS </v>
      </c>
      <c r="B40" s="46">
        <f ca="1">IFERROR(__xludf.DUMMYFUNCTION("""COMPUTED_VALUE"""),1)</f>
        <v>1</v>
      </c>
      <c r="C40" s="46"/>
      <c r="D40" s="46" t="str">
        <f ca="1">IFERROR(__xludf.DUMMYFUNCTION("""COMPUTED_VALUE"""),"ASCENDENTE")</f>
        <v>ASCENDENTE</v>
      </c>
      <c r="E40" s="46" t="str">
        <f ca="1">IFERROR(__xludf.DUMMYFUNCTION("""COMPUTED_VALUE"""),"BITACORA OPERATIVA")</f>
        <v>BITACORA OPERATIVA</v>
      </c>
      <c r="F40" s="47">
        <f ca="1">IFERROR(__xludf.DUMMYFUNCTION("""COMPUTED_VALUE"""),0)</f>
        <v>0</v>
      </c>
      <c r="G40" s="48">
        <f ca="1">IFERROR(__xludf.DUMMYFUNCTION("""COMPUTED_VALUE"""),120)</f>
        <v>120</v>
      </c>
      <c r="H40" s="48">
        <f ca="1">IFERROR(__xludf.DUMMYFUNCTION("""COMPUTED_VALUE"""),100)</f>
        <v>100</v>
      </c>
      <c r="I40" s="48">
        <f ca="1">IFERROR(__xludf.DUMMYFUNCTION("""COMPUTED_VALUE"""),0)</f>
        <v>0</v>
      </c>
      <c r="J40" s="48">
        <f ca="1">IFERROR(__xludf.DUMMYFUNCTION("""COMPUTED_VALUE"""),0)</f>
        <v>0</v>
      </c>
      <c r="K40" s="48">
        <f ca="1">IFERROR(__xludf.DUMMYFUNCTION("""COMPUTED_VALUE"""),0)</f>
        <v>0</v>
      </c>
      <c r="L40" s="48">
        <f ca="1">IFERROR(__xludf.DUMMYFUNCTION("""COMPUTED_VALUE"""),0)</f>
        <v>0</v>
      </c>
      <c r="M40" s="48">
        <f ca="1">IFERROR(__xludf.DUMMYFUNCTION("""COMPUTED_VALUE"""),0)</f>
        <v>0</v>
      </c>
      <c r="N40" s="48">
        <f ca="1">IFERROR(__xludf.DUMMYFUNCTION("""COMPUTED_VALUE"""),0)</f>
        <v>0</v>
      </c>
      <c r="O40" s="48">
        <f ca="1">IFERROR(__xludf.DUMMYFUNCTION("""COMPUTED_VALUE"""),0)</f>
        <v>0</v>
      </c>
      <c r="P40" s="48">
        <f ca="1">IFERROR(__xludf.DUMMYFUNCTION("""COMPUTED_VALUE"""),0)</f>
        <v>0</v>
      </c>
      <c r="Q40" s="48">
        <f ca="1">IFERROR(__xludf.DUMMYFUNCTION("""COMPUTED_VALUE"""),0)</f>
        <v>0</v>
      </c>
      <c r="R40" s="48">
        <f ca="1">IFERROR(__xludf.DUMMYFUNCTION("""COMPUTED_VALUE"""),0)</f>
        <v>0</v>
      </c>
      <c r="S40" s="48">
        <f ca="1">IFERROR(__xludf.DUMMYFUNCTION("""COMPUTED_VALUE"""),220)</f>
        <v>220</v>
      </c>
    </row>
    <row r="41" spans="1:19">
      <c r="A41" s="46" t="str">
        <f ca="1">IFERROR(__xludf.DUMMYFUNCTION("""COMPUTED_VALUE"""),"CARNICERIAS")</f>
        <v>CARNICERIAS</v>
      </c>
      <c r="B41" s="46">
        <f ca="1">IFERROR(__xludf.DUMMYFUNCTION("""COMPUTED_VALUE"""),1)</f>
        <v>1</v>
      </c>
      <c r="C41" s="46"/>
      <c r="D41" s="46" t="str">
        <f ca="1">IFERROR(__xludf.DUMMYFUNCTION("""COMPUTED_VALUE"""),"ASCENDENTE")</f>
        <v>ASCENDENTE</v>
      </c>
      <c r="E41" s="46" t="str">
        <f ca="1">IFERROR(__xludf.DUMMYFUNCTION("""COMPUTED_VALUE"""),"BITACORA OPERATIVA")</f>
        <v>BITACORA OPERATIVA</v>
      </c>
      <c r="F41" s="47">
        <f ca="1">IFERROR(__xludf.DUMMYFUNCTION("""COMPUTED_VALUE"""),0)</f>
        <v>0</v>
      </c>
      <c r="G41" s="48">
        <f ca="1">IFERROR(__xludf.DUMMYFUNCTION("""COMPUTED_VALUE"""),130)</f>
        <v>130</v>
      </c>
      <c r="H41" s="48">
        <f ca="1">IFERROR(__xludf.DUMMYFUNCTION("""COMPUTED_VALUE"""),140)</f>
        <v>140</v>
      </c>
      <c r="I41" s="48">
        <f ca="1">IFERROR(__xludf.DUMMYFUNCTION("""COMPUTED_VALUE"""),0)</f>
        <v>0</v>
      </c>
      <c r="J41" s="48">
        <f ca="1">IFERROR(__xludf.DUMMYFUNCTION("""COMPUTED_VALUE"""),0)</f>
        <v>0</v>
      </c>
      <c r="K41" s="48">
        <f ca="1">IFERROR(__xludf.DUMMYFUNCTION("""COMPUTED_VALUE"""),0)</f>
        <v>0</v>
      </c>
      <c r="L41" s="48">
        <f ca="1">IFERROR(__xludf.DUMMYFUNCTION("""COMPUTED_VALUE"""),0)</f>
        <v>0</v>
      </c>
      <c r="M41" s="48">
        <f ca="1">IFERROR(__xludf.DUMMYFUNCTION("""COMPUTED_VALUE"""),0)</f>
        <v>0</v>
      </c>
      <c r="N41" s="48">
        <f ca="1">IFERROR(__xludf.DUMMYFUNCTION("""COMPUTED_VALUE"""),0)</f>
        <v>0</v>
      </c>
      <c r="O41" s="48">
        <f ca="1">IFERROR(__xludf.DUMMYFUNCTION("""COMPUTED_VALUE"""),0)</f>
        <v>0</v>
      </c>
      <c r="P41" s="48">
        <f ca="1">IFERROR(__xludf.DUMMYFUNCTION("""COMPUTED_VALUE"""),0)</f>
        <v>0</v>
      </c>
      <c r="Q41" s="48">
        <f ca="1">IFERROR(__xludf.DUMMYFUNCTION("""COMPUTED_VALUE"""),0)</f>
        <v>0</v>
      </c>
      <c r="R41" s="48">
        <f ca="1">IFERROR(__xludf.DUMMYFUNCTION("""COMPUTED_VALUE"""),0)</f>
        <v>0</v>
      </c>
      <c r="S41" s="48">
        <f ca="1">IFERROR(__xludf.DUMMYFUNCTION("""COMPUTED_VALUE"""),270)</f>
        <v>270</v>
      </c>
    </row>
    <row r="42" spans="1:19">
      <c r="A42" s="46" t="str">
        <f ca="1">IFERROR(__xludf.DUMMYFUNCTION("""COMPUTED_VALUE"""),"TOTAL DE KG DECOMISADOS")</f>
        <v>TOTAL DE KG DECOMISADOS</v>
      </c>
      <c r="B42" s="46">
        <f ca="1">IFERROR(__xludf.DUMMYFUNCTION("""COMPUTED_VALUE"""),1)</f>
        <v>1</v>
      </c>
      <c r="C42" s="46"/>
      <c r="D42" s="46" t="str">
        <f ca="1">IFERROR(__xludf.DUMMYFUNCTION("""COMPUTED_VALUE"""),"ASCENDENTE")</f>
        <v>ASCENDENTE</v>
      </c>
      <c r="E42" s="46" t="str">
        <f ca="1">IFERROR(__xludf.DUMMYFUNCTION("""COMPUTED_VALUE"""),"BITACORA OPERATIVA")</f>
        <v>BITACORA OPERATIVA</v>
      </c>
      <c r="F42" s="47">
        <f ca="1">IFERROR(__xludf.DUMMYFUNCTION("""COMPUTED_VALUE"""),0)</f>
        <v>0</v>
      </c>
      <c r="G42" s="48">
        <f ca="1">IFERROR(__xludf.DUMMYFUNCTION("""COMPUTED_VALUE"""),0)</f>
        <v>0</v>
      </c>
      <c r="H42" s="48">
        <f ca="1">IFERROR(__xludf.DUMMYFUNCTION("""COMPUTED_VALUE"""),0)</f>
        <v>0</v>
      </c>
      <c r="I42" s="48">
        <f ca="1">IFERROR(__xludf.DUMMYFUNCTION("""COMPUTED_VALUE"""),0)</f>
        <v>0</v>
      </c>
      <c r="J42" s="48">
        <f ca="1">IFERROR(__xludf.DUMMYFUNCTION("""COMPUTED_VALUE"""),0)</f>
        <v>0</v>
      </c>
      <c r="K42" s="48">
        <f ca="1">IFERROR(__xludf.DUMMYFUNCTION("""COMPUTED_VALUE"""),0)</f>
        <v>0</v>
      </c>
      <c r="L42" s="48">
        <f ca="1">IFERROR(__xludf.DUMMYFUNCTION("""COMPUTED_VALUE"""),0)</f>
        <v>0</v>
      </c>
      <c r="M42" s="48">
        <f ca="1">IFERROR(__xludf.DUMMYFUNCTION("""COMPUTED_VALUE"""),0)</f>
        <v>0</v>
      </c>
      <c r="N42" s="48">
        <f ca="1">IFERROR(__xludf.DUMMYFUNCTION("""COMPUTED_VALUE"""),0)</f>
        <v>0</v>
      </c>
      <c r="O42" s="48">
        <f ca="1">IFERROR(__xludf.DUMMYFUNCTION("""COMPUTED_VALUE"""),0)</f>
        <v>0</v>
      </c>
      <c r="P42" s="48">
        <f ca="1">IFERROR(__xludf.DUMMYFUNCTION("""COMPUTED_VALUE"""),0)</f>
        <v>0</v>
      </c>
      <c r="Q42" s="48">
        <f ca="1">IFERROR(__xludf.DUMMYFUNCTION("""COMPUTED_VALUE"""),0)</f>
        <v>0</v>
      </c>
      <c r="R42" s="48">
        <f ca="1">IFERROR(__xludf.DUMMYFUNCTION("""COMPUTED_VALUE"""),0)</f>
        <v>0</v>
      </c>
      <c r="S42" s="48">
        <f ca="1">IFERROR(__xludf.DUMMYFUNCTION("""COMPUTED_VALUE"""),0)</f>
        <v>0</v>
      </c>
    </row>
    <row r="43" spans="1:19">
      <c r="A43" s="46" t="str">
        <f ca="1">IFERROR(__xludf.DUMMYFUNCTION("""COMPUTED_VALUE"""),"MANTENIMIENTO DE LUMINARIAS DELEGACIONES Y COMUNIDADES")</f>
        <v>MANTENIMIENTO DE LUMINARIAS DELEGACIONES Y COMUNIDADES</v>
      </c>
      <c r="B43" s="46">
        <f ca="1">IFERROR(__xludf.DUMMYFUNCTION("""COMPUTED_VALUE"""),1)</f>
        <v>1</v>
      </c>
      <c r="C43" s="46"/>
      <c r="D43" s="46" t="str">
        <f ca="1">IFERROR(__xludf.DUMMYFUNCTION("""COMPUTED_VALUE"""),"ASCENDENTE")</f>
        <v>ASCENDENTE</v>
      </c>
      <c r="E43" s="46" t="str">
        <f ca="1">IFERROR(__xludf.DUMMYFUNCTION("""COMPUTED_VALUE"""),"BITACORA OPERATIVA")</f>
        <v>BITACORA OPERATIVA</v>
      </c>
      <c r="F43" s="47">
        <f ca="1">IFERROR(__xludf.DUMMYFUNCTION("""COMPUTED_VALUE"""),0)</f>
        <v>0</v>
      </c>
      <c r="G43" s="48">
        <f ca="1">IFERROR(__xludf.DUMMYFUNCTION("""COMPUTED_VALUE"""),78)</f>
        <v>78</v>
      </c>
      <c r="H43" s="48">
        <f ca="1">IFERROR(__xludf.DUMMYFUNCTION("""COMPUTED_VALUE"""),108)</f>
        <v>108</v>
      </c>
      <c r="I43" s="48">
        <f ca="1">IFERROR(__xludf.DUMMYFUNCTION("""COMPUTED_VALUE"""),0)</f>
        <v>0</v>
      </c>
      <c r="J43" s="48">
        <f ca="1">IFERROR(__xludf.DUMMYFUNCTION("""COMPUTED_VALUE"""),0)</f>
        <v>0</v>
      </c>
      <c r="K43" s="48">
        <f ca="1">IFERROR(__xludf.DUMMYFUNCTION("""COMPUTED_VALUE"""),0)</f>
        <v>0</v>
      </c>
      <c r="L43" s="48">
        <f ca="1">IFERROR(__xludf.DUMMYFUNCTION("""COMPUTED_VALUE"""),0)</f>
        <v>0</v>
      </c>
      <c r="M43" s="48">
        <f ca="1">IFERROR(__xludf.DUMMYFUNCTION("""COMPUTED_VALUE"""),0)</f>
        <v>0</v>
      </c>
      <c r="N43" s="48">
        <f ca="1">IFERROR(__xludf.DUMMYFUNCTION("""COMPUTED_VALUE"""),0)</f>
        <v>0</v>
      </c>
      <c r="O43" s="48">
        <f ca="1">IFERROR(__xludf.DUMMYFUNCTION("""COMPUTED_VALUE"""),0)</f>
        <v>0</v>
      </c>
      <c r="P43" s="48">
        <f ca="1">IFERROR(__xludf.DUMMYFUNCTION("""COMPUTED_VALUE"""),0)</f>
        <v>0</v>
      </c>
      <c r="Q43" s="48">
        <f ca="1">IFERROR(__xludf.DUMMYFUNCTION("""COMPUTED_VALUE"""),0)</f>
        <v>0</v>
      </c>
      <c r="R43" s="48">
        <f ca="1">IFERROR(__xludf.DUMMYFUNCTION("""COMPUTED_VALUE"""),0)</f>
        <v>0</v>
      </c>
      <c r="S43" s="48">
        <f ca="1">IFERROR(__xludf.DUMMYFUNCTION("""COMPUTED_VALUE"""),186)</f>
        <v>186</v>
      </c>
    </row>
    <row r="44" spans="1:19">
      <c r="A44" s="46" t="str">
        <f ca="1">IFERROR(__xludf.DUMMYFUNCTION("""COMPUTED_VALUE"""),"MANTENIMIENTO DE LUMINARIAS EN CABECERA MUNICIPAL")</f>
        <v>MANTENIMIENTO DE LUMINARIAS EN CABECERA MUNICIPAL</v>
      </c>
      <c r="B44" s="46">
        <f ca="1">IFERROR(__xludf.DUMMYFUNCTION("""COMPUTED_VALUE"""),1)</f>
        <v>1</v>
      </c>
      <c r="C44" s="46"/>
      <c r="D44" s="46" t="str">
        <f ca="1">IFERROR(__xludf.DUMMYFUNCTION("""COMPUTED_VALUE"""),"ASCENDENTE")</f>
        <v>ASCENDENTE</v>
      </c>
      <c r="E44" s="46" t="str">
        <f ca="1">IFERROR(__xludf.DUMMYFUNCTION("""COMPUTED_VALUE"""),"BITACORA OPERATIVA")</f>
        <v>BITACORA OPERATIVA</v>
      </c>
      <c r="F44" s="47">
        <f ca="1">IFERROR(__xludf.DUMMYFUNCTION("""COMPUTED_VALUE"""),0)</f>
        <v>0</v>
      </c>
      <c r="G44" s="48">
        <f ca="1">IFERROR(__xludf.DUMMYFUNCTION("""COMPUTED_VALUE"""),191)</f>
        <v>191</v>
      </c>
      <c r="H44" s="48">
        <f ca="1">IFERROR(__xludf.DUMMYFUNCTION("""COMPUTED_VALUE"""),71)</f>
        <v>71</v>
      </c>
      <c r="I44" s="48">
        <f ca="1">IFERROR(__xludf.DUMMYFUNCTION("""COMPUTED_VALUE"""),0)</f>
        <v>0</v>
      </c>
      <c r="J44" s="48">
        <f ca="1">IFERROR(__xludf.DUMMYFUNCTION("""COMPUTED_VALUE"""),0)</f>
        <v>0</v>
      </c>
      <c r="K44" s="48">
        <f ca="1">IFERROR(__xludf.DUMMYFUNCTION("""COMPUTED_VALUE"""),0)</f>
        <v>0</v>
      </c>
      <c r="L44" s="48">
        <f ca="1">IFERROR(__xludf.DUMMYFUNCTION("""COMPUTED_VALUE"""),0)</f>
        <v>0</v>
      </c>
      <c r="M44" s="48">
        <f ca="1">IFERROR(__xludf.DUMMYFUNCTION("""COMPUTED_VALUE"""),0)</f>
        <v>0</v>
      </c>
      <c r="N44" s="48">
        <f ca="1">IFERROR(__xludf.DUMMYFUNCTION("""COMPUTED_VALUE"""),0)</f>
        <v>0</v>
      </c>
      <c r="O44" s="48">
        <f ca="1">IFERROR(__xludf.DUMMYFUNCTION("""COMPUTED_VALUE"""),0)</f>
        <v>0</v>
      </c>
      <c r="P44" s="48">
        <f ca="1">IFERROR(__xludf.DUMMYFUNCTION("""COMPUTED_VALUE"""),0)</f>
        <v>0</v>
      </c>
      <c r="Q44" s="48">
        <f ca="1">IFERROR(__xludf.DUMMYFUNCTION("""COMPUTED_VALUE"""),0)</f>
        <v>0</v>
      </c>
      <c r="R44" s="48">
        <f ca="1">IFERROR(__xludf.DUMMYFUNCTION("""COMPUTED_VALUE"""),0)</f>
        <v>0</v>
      </c>
      <c r="S44" s="48">
        <f ca="1">IFERROR(__xludf.DUMMYFUNCTION("""COMPUTED_VALUE"""),262)</f>
        <v>262</v>
      </c>
    </row>
    <row r="45" spans="1:19">
      <c r="A45" s="46" t="str">
        <f ca="1">IFERROR(__xludf.DUMMYFUNCTION("""COMPUTED_VALUE"""),"INSTALACIÓN DE LÁMPARAS NUEVAS DELEGACIONES Y COMUNIDADES")</f>
        <v>INSTALACIÓN DE LÁMPARAS NUEVAS DELEGACIONES Y COMUNIDADES</v>
      </c>
      <c r="B45" s="46">
        <f ca="1">IFERROR(__xludf.DUMMYFUNCTION("""COMPUTED_VALUE"""),1)</f>
        <v>1</v>
      </c>
      <c r="C45" s="46"/>
      <c r="D45" s="46" t="str">
        <f ca="1">IFERROR(__xludf.DUMMYFUNCTION("""COMPUTED_VALUE"""),"ASCENDENTE")</f>
        <v>ASCENDENTE</v>
      </c>
      <c r="E45" s="46" t="str">
        <f ca="1">IFERROR(__xludf.DUMMYFUNCTION("""COMPUTED_VALUE"""),"BITACORA OPERATIVA")</f>
        <v>BITACORA OPERATIVA</v>
      </c>
      <c r="F45" s="47">
        <f ca="1">IFERROR(__xludf.DUMMYFUNCTION("""COMPUTED_VALUE"""),0)</f>
        <v>0</v>
      </c>
      <c r="G45" s="48">
        <f ca="1">IFERROR(__xludf.DUMMYFUNCTION("""COMPUTED_VALUE"""),16)</f>
        <v>16</v>
      </c>
      <c r="H45" s="48">
        <f ca="1">IFERROR(__xludf.DUMMYFUNCTION("""COMPUTED_VALUE"""),8)</f>
        <v>8</v>
      </c>
      <c r="I45" s="48">
        <f ca="1">IFERROR(__xludf.DUMMYFUNCTION("""COMPUTED_VALUE"""),0)</f>
        <v>0</v>
      </c>
      <c r="J45" s="48">
        <f ca="1">IFERROR(__xludf.DUMMYFUNCTION("""COMPUTED_VALUE"""),0)</f>
        <v>0</v>
      </c>
      <c r="K45" s="48">
        <f ca="1">IFERROR(__xludf.DUMMYFUNCTION("""COMPUTED_VALUE"""),0)</f>
        <v>0</v>
      </c>
      <c r="L45" s="48">
        <f ca="1">IFERROR(__xludf.DUMMYFUNCTION("""COMPUTED_VALUE"""),0)</f>
        <v>0</v>
      </c>
      <c r="M45" s="48">
        <f ca="1">IFERROR(__xludf.DUMMYFUNCTION("""COMPUTED_VALUE"""),0)</f>
        <v>0</v>
      </c>
      <c r="N45" s="48">
        <f ca="1">IFERROR(__xludf.DUMMYFUNCTION("""COMPUTED_VALUE"""),0)</f>
        <v>0</v>
      </c>
      <c r="O45" s="48">
        <f ca="1">IFERROR(__xludf.DUMMYFUNCTION("""COMPUTED_VALUE"""),0)</f>
        <v>0</v>
      </c>
      <c r="P45" s="48">
        <f ca="1">IFERROR(__xludf.DUMMYFUNCTION("""COMPUTED_VALUE"""),0)</f>
        <v>0</v>
      </c>
      <c r="Q45" s="48">
        <f ca="1">IFERROR(__xludf.DUMMYFUNCTION("""COMPUTED_VALUE"""),0)</f>
        <v>0</v>
      </c>
      <c r="R45" s="48">
        <f ca="1">IFERROR(__xludf.DUMMYFUNCTION("""COMPUTED_VALUE"""),0)</f>
        <v>0</v>
      </c>
      <c r="S45" s="48">
        <f ca="1">IFERROR(__xludf.DUMMYFUNCTION("""COMPUTED_VALUE"""),24)</f>
        <v>24</v>
      </c>
    </row>
    <row r="46" spans="1:19">
      <c r="A46" s="46" t="str">
        <f ca="1">IFERROR(__xludf.DUMMYFUNCTION("""COMPUTED_VALUE"""),"INSTALACIÓN DE LÁMPARAS NUEVAS CABECERA MUNICIPAL")</f>
        <v>INSTALACIÓN DE LÁMPARAS NUEVAS CABECERA MUNICIPAL</v>
      </c>
      <c r="B46" s="46">
        <f ca="1">IFERROR(__xludf.DUMMYFUNCTION("""COMPUTED_VALUE"""),1)</f>
        <v>1</v>
      </c>
      <c r="C46" s="46"/>
      <c r="D46" s="46" t="str">
        <f ca="1">IFERROR(__xludf.DUMMYFUNCTION("""COMPUTED_VALUE"""),"ASCENDENTE")</f>
        <v>ASCENDENTE</v>
      </c>
      <c r="E46" s="46" t="str">
        <f ca="1">IFERROR(__xludf.DUMMYFUNCTION("""COMPUTED_VALUE"""),"BITACORA OPERATIVA")</f>
        <v>BITACORA OPERATIVA</v>
      </c>
      <c r="F46" s="47">
        <f ca="1">IFERROR(__xludf.DUMMYFUNCTION("""COMPUTED_VALUE"""),0)</f>
        <v>0</v>
      </c>
      <c r="G46" s="48">
        <f ca="1">IFERROR(__xludf.DUMMYFUNCTION("""COMPUTED_VALUE"""),13)</f>
        <v>13</v>
      </c>
      <c r="H46" s="48">
        <f ca="1">IFERROR(__xludf.DUMMYFUNCTION("""COMPUTED_VALUE"""),12)</f>
        <v>12</v>
      </c>
      <c r="I46" s="48">
        <f ca="1">IFERROR(__xludf.DUMMYFUNCTION("""COMPUTED_VALUE"""),0)</f>
        <v>0</v>
      </c>
      <c r="J46" s="48">
        <f ca="1">IFERROR(__xludf.DUMMYFUNCTION("""COMPUTED_VALUE"""),0)</f>
        <v>0</v>
      </c>
      <c r="K46" s="48">
        <f ca="1">IFERROR(__xludf.DUMMYFUNCTION("""COMPUTED_VALUE"""),0)</f>
        <v>0</v>
      </c>
      <c r="L46" s="48">
        <f ca="1">IFERROR(__xludf.DUMMYFUNCTION("""COMPUTED_VALUE"""),0)</f>
        <v>0</v>
      </c>
      <c r="M46" s="48">
        <f ca="1">IFERROR(__xludf.DUMMYFUNCTION("""COMPUTED_VALUE"""),0)</f>
        <v>0</v>
      </c>
      <c r="N46" s="48">
        <f ca="1">IFERROR(__xludf.DUMMYFUNCTION("""COMPUTED_VALUE"""),0)</f>
        <v>0</v>
      </c>
      <c r="O46" s="48">
        <f ca="1">IFERROR(__xludf.DUMMYFUNCTION("""COMPUTED_VALUE"""),0)</f>
        <v>0</v>
      </c>
      <c r="P46" s="48">
        <f ca="1">IFERROR(__xludf.DUMMYFUNCTION("""COMPUTED_VALUE"""),0)</f>
        <v>0</v>
      </c>
      <c r="Q46" s="48">
        <f ca="1">IFERROR(__xludf.DUMMYFUNCTION("""COMPUTED_VALUE"""),0)</f>
        <v>0</v>
      </c>
      <c r="R46" s="48">
        <f ca="1">IFERROR(__xludf.DUMMYFUNCTION("""COMPUTED_VALUE"""),0)</f>
        <v>0</v>
      </c>
      <c r="S46" s="48">
        <f ca="1">IFERROR(__xludf.DUMMYFUNCTION("""COMPUTED_VALUE"""),25)</f>
        <v>25</v>
      </c>
    </row>
    <row r="47" spans="1:19">
      <c r="A47" s="46" t="str">
        <f ca="1">IFERROR(__xludf.DUMMYFUNCTION("""COMPUTED_VALUE"""),"NÚMERO DE SOLICITUDES PARA LÁMPARAS NUEVAS ")</f>
        <v xml:space="preserve">NÚMERO DE SOLICITUDES PARA LÁMPARAS NUEVAS </v>
      </c>
      <c r="B47" s="46">
        <f ca="1">IFERROR(__xludf.DUMMYFUNCTION("""COMPUTED_VALUE"""),1)</f>
        <v>1</v>
      </c>
      <c r="C47" s="46"/>
      <c r="D47" s="46" t="str">
        <f ca="1">IFERROR(__xludf.DUMMYFUNCTION("""COMPUTED_VALUE"""),"ASCENDENTE")</f>
        <v>ASCENDENTE</v>
      </c>
      <c r="E47" s="46" t="str">
        <f ca="1">IFERROR(__xludf.DUMMYFUNCTION("""COMPUTED_VALUE"""),"BITACORA OPERATIVA")</f>
        <v>BITACORA OPERATIVA</v>
      </c>
      <c r="F47" s="47">
        <f ca="1">IFERROR(__xludf.DUMMYFUNCTION("""COMPUTED_VALUE"""),0)</f>
        <v>0</v>
      </c>
      <c r="G47" s="48">
        <f ca="1">IFERROR(__xludf.DUMMYFUNCTION("""COMPUTED_VALUE"""),25)</f>
        <v>25</v>
      </c>
      <c r="H47" s="48">
        <f ca="1">IFERROR(__xludf.DUMMYFUNCTION("""COMPUTED_VALUE"""),3)</f>
        <v>3</v>
      </c>
      <c r="I47" s="48">
        <f ca="1">IFERROR(__xludf.DUMMYFUNCTION("""COMPUTED_VALUE"""),0)</f>
        <v>0</v>
      </c>
      <c r="J47" s="48">
        <f ca="1">IFERROR(__xludf.DUMMYFUNCTION("""COMPUTED_VALUE"""),0)</f>
        <v>0</v>
      </c>
      <c r="K47" s="48">
        <f ca="1">IFERROR(__xludf.DUMMYFUNCTION("""COMPUTED_VALUE"""),0)</f>
        <v>0</v>
      </c>
      <c r="L47" s="48">
        <f ca="1">IFERROR(__xludf.DUMMYFUNCTION("""COMPUTED_VALUE"""),0)</f>
        <v>0</v>
      </c>
      <c r="M47" s="48">
        <f ca="1">IFERROR(__xludf.DUMMYFUNCTION("""COMPUTED_VALUE"""),0)</f>
        <v>0</v>
      </c>
      <c r="N47" s="48">
        <f ca="1">IFERROR(__xludf.DUMMYFUNCTION("""COMPUTED_VALUE"""),0)</f>
        <v>0</v>
      </c>
      <c r="O47" s="48">
        <f ca="1">IFERROR(__xludf.DUMMYFUNCTION("""COMPUTED_VALUE"""),0)</f>
        <v>0</v>
      </c>
      <c r="P47" s="48">
        <f ca="1">IFERROR(__xludf.DUMMYFUNCTION("""COMPUTED_VALUE"""),0)</f>
        <v>0</v>
      </c>
      <c r="Q47" s="48">
        <f ca="1">IFERROR(__xludf.DUMMYFUNCTION("""COMPUTED_VALUE"""),0)</f>
        <v>0</v>
      </c>
      <c r="R47" s="48">
        <f ca="1">IFERROR(__xludf.DUMMYFUNCTION("""COMPUTED_VALUE"""),0)</f>
        <v>0</v>
      </c>
      <c r="S47" s="48">
        <f ca="1">IFERROR(__xludf.DUMMYFUNCTION("""COMPUTED_VALUE"""),28)</f>
        <v>28</v>
      </c>
    </row>
    <row r="48" spans="1:19">
      <c r="A48" s="46" t="str">
        <f ca="1">IFERROR(__xludf.DUMMYFUNCTION("""COMPUTED_VALUE"""),"censo actual de LUMINARIAS")</f>
        <v>censo actual de LUMINARIAS</v>
      </c>
      <c r="B48" s="46">
        <f ca="1">IFERROR(__xludf.DUMMYFUNCTION("""COMPUTED_VALUE"""),1)</f>
        <v>1</v>
      </c>
      <c r="C48" s="46"/>
      <c r="D48" s="46" t="str">
        <f ca="1">IFERROR(__xludf.DUMMYFUNCTION("""COMPUTED_VALUE"""),"ASCENDENTE")</f>
        <v>ASCENDENTE</v>
      </c>
      <c r="E48" s="46" t="str">
        <f ca="1">IFERROR(__xludf.DUMMYFUNCTION("""COMPUTED_VALUE"""),"BITACORA OPERATIVA")</f>
        <v>BITACORA OPERATIVA</v>
      </c>
      <c r="F48" s="47">
        <f ca="1">IFERROR(__xludf.DUMMYFUNCTION("""COMPUTED_VALUE"""),0)</f>
        <v>0</v>
      </c>
      <c r="G48" s="48">
        <f ca="1">IFERROR(__xludf.DUMMYFUNCTION("""COMPUTED_VALUE"""),0)</f>
        <v>0</v>
      </c>
      <c r="H48" s="48">
        <f ca="1">IFERROR(__xludf.DUMMYFUNCTION("""COMPUTED_VALUE"""),0)</f>
        <v>0</v>
      </c>
      <c r="I48" s="48">
        <f ca="1">IFERROR(__xludf.DUMMYFUNCTION("""COMPUTED_VALUE"""),0)</f>
        <v>0</v>
      </c>
      <c r="J48" s="48">
        <f ca="1">IFERROR(__xludf.DUMMYFUNCTION("""COMPUTED_VALUE"""),0)</f>
        <v>0</v>
      </c>
      <c r="K48" s="48">
        <f ca="1">IFERROR(__xludf.DUMMYFUNCTION("""COMPUTED_VALUE"""),0)</f>
        <v>0</v>
      </c>
      <c r="L48" s="48">
        <f ca="1">IFERROR(__xludf.DUMMYFUNCTION("""COMPUTED_VALUE"""),0)</f>
        <v>0</v>
      </c>
      <c r="M48" s="48">
        <f ca="1">IFERROR(__xludf.DUMMYFUNCTION("""COMPUTED_VALUE"""),0)</f>
        <v>0</v>
      </c>
      <c r="N48" s="48">
        <f ca="1">IFERROR(__xludf.DUMMYFUNCTION("""COMPUTED_VALUE"""),0)</f>
        <v>0</v>
      </c>
      <c r="O48" s="48">
        <f ca="1">IFERROR(__xludf.DUMMYFUNCTION("""COMPUTED_VALUE"""),0)</f>
        <v>0</v>
      </c>
      <c r="P48" s="48">
        <f ca="1">IFERROR(__xludf.DUMMYFUNCTION("""COMPUTED_VALUE"""),0)</f>
        <v>0</v>
      </c>
      <c r="Q48" s="48">
        <f ca="1">IFERROR(__xludf.DUMMYFUNCTION("""COMPUTED_VALUE"""),0)</f>
        <v>0</v>
      </c>
      <c r="R48" s="48">
        <f ca="1">IFERROR(__xludf.DUMMYFUNCTION("""COMPUTED_VALUE"""),0)</f>
        <v>0</v>
      </c>
      <c r="S48" s="48">
        <f ca="1">IFERROR(__xludf.DUMMYFUNCTION("""COMPUTED_VALUE"""),0)</f>
        <v>0</v>
      </c>
    </row>
    <row r="49" spans="1:19">
      <c r="A49" s="46" t="str">
        <f ca="1">IFERROR(__xludf.DUMMYFUNCTION("""COMPUTED_VALUE"""),"ACTIVIDADES EXTRAS (MANTENIMIENTO ELÉCTRICO DE EDIFICIOS PÚBLICOS, APOYO A EVENTOS)")</f>
        <v>ACTIVIDADES EXTRAS (MANTENIMIENTO ELÉCTRICO DE EDIFICIOS PÚBLICOS, APOYO A EVENTOS)</v>
      </c>
      <c r="B49" s="46">
        <f ca="1">IFERROR(__xludf.DUMMYFUNCTION("""COMPUTED_VALUE"""),1)</f>
        <v>1</v>
      </c>
      <c r="C49" s="46"/>
      <c r="D49" s="46" t="str">
        <f ca="1">IFERROR(__xludf.DUMMYFUNCTION("""COMPUTED_VALUE"""),"ASCENDENTE")</f>
        <v>ASCENDENTE</v>
      </c>
      <c r="E49" s="46" t="str">
        <f ca="1">IFERROR(__xludf.DUMMYFUNCTION("""COMPUTED_VALUE"""),"BITACORA OPERATIVA")</f>
        <v>BITACORA OPERATIVA</v>
      </c>
      <c r="F49" s="47">
        <f ca="1">IFERROR(__xludf.DUMMYFUNCTION("""COMPUTED_VALUE"""),0)</f>
        <v>0</v>
      </c>
      <c r="G49" s="48">
        <f ca="1">IFERROR(__xludf.DUMMYFUNCTION("""COMPUTED_VALUE"""),52)</f>
        <v>52</v>
      </c>
      <c r="H49" s="48">
        <f ca="1">IFERROR(__xludf.DUMMYFUNCTION("""COMPUTED_VALUE"""),63)</f>
        <v>63</v>
      </c>
      <c r="I49" s="48">
        <f ca="1">IFERROR(__xludf.DUMMYFUNCTION("""COMPUTED_VALUE"""),0)</f>
        <v>0</v>
      </c>
      <c r="J49" s="48">
        <f ca="1">IFERROR(__xludf.DUMMYFUNCTION("""COMPUTED_VALUE"""),0)</f>
        <v>0</v>
      </c>
      <c r="K49" s="48">
        <f ca="1">IFERROR(__xludf.DUMMYFUNCTION("""COMPUTED_VALUE"""),0)</f>
        <v>0</v>
      </c>
      <c r="L49" s="48">
        <f ca="1">IFERROR(__xludf.DUMMYFUNCTION("""COMPUTED_VALUE"""),0)</f>
        <v>0</v>
      </c>
      <c r="M49" s="48">
        <f ca="1">IFERROR(__xludf.DUMMYFUNCTION("""COMPUTED_VALUE"""),0)</f>
        <v>0</v>
      </c>
      <c r="N49" s="48">
        <f ca="1">IFERROR(__xludf.DUMMYFUNCTION("""COMPUTED_VALUE"""),0)</f>
        <v>0</v>
      </c>
      <c r="O49" s="48">
        <f ca="1">IFERROR(__xludf.DUMMYFUNCTION("""COMPUTED_VALUE"""),0)</f>
        <v>0</v>
      </c>
      <c r="P49" s="48">
        <f ca="1">IFERROR(__xludf.DUMMYFUNCTION("""COMPUTED_VALUE"""),0)</f>
        <v>0</v>
      </c>
      <c r="Q49" s="48">
        <f ca="1">IFERROR(__xludf.DUMMYFUNCTION("""COMPUTED_VALUE"""),0)</f>
        <v>0</v>
      </c>
      <c r="R49" s="48">
        <f ca="1">IFERROR(__xludf.DUMMYFUNCTION("""COMPUTED_VALUE"""),0)</f>
        <v>0</v>
      </c>
      <c r="S49" s="48">
        <f ca="1">IFERROR(__xludf.DUMMYFUNCTION("""COMPUTED_VALUE"""),115)</f>
        <v>115</v>
      </c>
    </row>
    <row r="50" spans="1:19">
      <c r="A50" s="46" t="str">
        <f ca="1">IFERROR(__xludf.DUMMYFUNCTION("""COMPUTED_VALUE"""),"PADRON DE LUMINARIA NO FUNCIONAL(REPORTE CIUDADANO)")</f>
        <v>PADRON DE LUMINARIA NO FUNCIONAL(REPORTE CIUDADANO)</v>
      </c>
      <c r="B50" s="46">
        <f ca="1">IFERROR(__xludf.DUMMYFUNCTION("""COMPUTED_VALUE"""),1)</f>
        <v>1</v>
      </c>
      <c r="C50" s="46"/>
      <c r="D50" s="46" t="str">
        <f ca="1">IFERROR(__xludf.DUMMYFUNCTION("""COMPUTED_VALUE"""),"ASCENDENTE")</f>
        <v>ASCENDENTE</v>
      </c>
      <c r="E50" s="46" t="str">
        <f ca="1">IFERROR(__xludf.DUMMYFUNCTION("""COMPUTED_VALUE"""),"BITACORA OPERATIVA")</f>
        <v>BITACORA OPERATIVA</v>
      </c>
      <c r="F50" s="47">
        <f ca="1">IFERROR(__xludf.DUMMYFUNCTION("""COMPUTED_VALUE"""),0)</f>
        <v>0</v>
      </c>
      <c r="G50" s="48">
        <f ca="1">IFERROR(__xludf.DUMMYFUNCTION("""COMPUTED_VALUE"""),63)</f>
        <v>63</v>
      </c>
      <c r="H50" s="48">
        <f ca="1">IFERROR(__xludf.DUMMYFUNCTION("""COMPUTED_VALUE"""),32)</f>
        <v>32</v>
      </c>
      <c r="I50" s="48">
        <f ca="1">IFERROR(__xludf.DUMMYFUNCTION("""COMPUTED_VALUE"""),0)</f>
        <v>0</v>
      </c>
      <c r="J50" s="48">
        <f ca="1">IFERROR(__xludf.DUMMYFUNCTION("""COMPUTED_VALUE"""),0)</f>
        <v>0</v>
      </c>
      <c r="K50" s="48">
        <f ca="1">IFERROR(__xludf.DUMMYFUNCTION("""COMPUTED_VALUE"""),0)</f>
        <v>0</v>
      </c>
      <c r="L50" s="48">
        <f ca="1">IFERROR(__xludf.DUMMYFUNCTION("""COMPUTED_VALUE"""),0)</f>
        <v>0</v>
      </c>
      <c r="M50" s="48">
        <f ca="1">IFERROR(__xludf.DUMMYFUNCTION("""COMPUTED_VALUE"""),0)</f>
        <v>0</v>
      </c>
      <c r="N50" s="48">
        <f ca="1">IFERROR(__xludf.DUMMYFUNCTION("""COMPUTED_VALUE"""),0)</f>
        <v>0</v>
      </c>
      <c r="O50" s="48">
        <f ca="1">IFERROR(__xludf.DUMMYFUNCTION("""COMPUTED_VALUE"""),0)</f>
        <v>0</v>
      </c>
      <c r="P50" s="48">
        <f ca="1">IFERROR(__xludf.DUMMYFUNCTION("""COMPUTED_VALUE"""),0)</f>
        <v>0</v>
      </c>
      <c r="Q50" s="48">
        <f ca="1">IFERROR(__xludf.DUMMYFUNCTION("""COMPUTED_VALUE"""),0)</f>
        <v>0</v>
      </c>
      <c r="R50" s="48">
        <f ca="1">IFERROR(__xludf.DUMMYFUNCTION("""COMPUTED_VALUE"""),0)</f>
        <v>0</v>
      </c>
      <c r="S50" s="48">
        <f ca="1">IFERROR(__xludf.DUMMYFUNCTION("""COMPUTED_VALUE"""),95)</f>
        <v>95</v>
      </c>
    </row>
    <row r="51" spans="1:19">
      <c r="A51" s="46" t="str">
        <f ca="1">IFERROR(__xludf.DUMMYFUNCTION("""COMPUTED_VALUE"""),"VIGILANCIA EN VERTEDERO MUNICIPAL (TONELADAS VERTIDAS POR MES)")</f>
        <v>VIGILANCIA EN VERTEDERO MUNICIPAL (TONELADAS VERTIDAS POR MES)</v>
      </c>
      <c r="B51" s="46">
        <f ca="1">IFERROR(__xludf.DUMMYFUNCTION("""COMPUTED_VALUE"""),1)</f>
        <v>1</v>
      </c>
      <c r="C51" s="46"/>
      <c r="D51" s="46" t="str">
        <f ca="1">IFERROR(__xludf.DUMMYFUNCTION("""COMPUTED_VALUE"""),"ASCENDENTE")</f>
        <v>ASCENDENTE</v>
      </c>
      <c r="E51" s="46" t="str">
        <f ca="1">IFERROR(__xludf.DUMMYFUNCTION("""COMPUTED_VALUE"""),"BITACORA OPERATIVA")</f>
        <v>BITACORA OPERATIVA</v>
      </c>
      <c r="F51" s="47">
        <f ca="1">IFERROR(__xludf.DUMMYFUNCTION("""COMPUTED_VALUE"""),0)</f>
        <v>0</v>
      </c>
      <c r="G51" s="48">
        <f ca="1">IFERROR(__xludf.DUMMYFUNCTION("""COMPUTED_VALUE"""),0)</f>
        <v>0</v>
      </c>
      <c r="H51" s="48">
        <f ca="1">IFERROR(__xludf.DUMMYFUNCTION("""COMPUTED_VALUE"""),0)</f>
        <v>0</v>
      </c>
      <c r="I51" s="48">
        <f ca="1">IFERROR(__xludf.DUMMYFUNCTION("""COMPUTED_VALUE"""),0)</f>
        <v>0</v>
      </c>
      <c r="J51" s="48">
        <f ca="1">IFERROR(__xludf.DUMMYFUNCTION("""COMPUTED_VALUE"""),0)</f>
        <v>0</v>
      </c>
      <c r="K51" s="48">
        <f ca="1">IFERROR(__xludf.DUMMYFUNCTION("""COMPUTED_VALUE"""),0)</f>
        <v>0</v>
      </c>
      <c r="L51" s="48">
        <f ca="1">IFERROR(__xludf.DUMMYFUNCTION("""COMPUTED_VALUE"""),0)</f>
        <v>0</v>
      </c>
      <c r="M51" s="48">
        <f ca="1">IFERROR(__xludf.DUMMYFUNCTION("""COMPUTED_VALUE"""),0)</f>
        <v>0</v>
      </c>
      <c r="N51" s="48">
        <f ca="1">IFERROR(__xludf.DUMMYFUNCTION("""COMPUTED_VALUE"""),0)</f>
        <v>0</v>
      </c>
      <c r="O51" s="48">
        <f ca="1">IFERROR(__xludf.DUMMYFUNCTION("""COMPUTED_VALUE"""),0)</f>
        <v>0</v>
      </c>
      <c r="P51" s="48">
        <f ca="1">IFERROR(__xludf.DUMMYFUNCTION("""COMPUTED_VALUE"""),0)</f>
        <v>0</v>
      </c>
      <c r="Q51" s="48">
        <f ca="1">IFERROR(__xludf.DUMMYFUNCTION("""COMPUTED_VALUE"""),0)</f>
        <v>0</v>
      </c>
      <c r="R51" s="48">
        <f ca="1">IFERROR(__xludf.DUMMYFUNCTION("""COMPUTED_VALUE"""),0)</f>
        <v>0</v>
      </c>
      <c r="S51" s="48">
        <f ca="1">IFERROR(__xludf.DUMMYFUNCTION("""COMPUTED_VALUE"""),0)</f>
        <v>0</v>
      </c>
    </row>
    <row r="52" spans="1:19">
      <c r="A52" s="46" t="str">
        <f ca="1">IFERROR(__xludf.DUMMYFUNCTION("""COMPUTED_VALUE"""),"NÚMERO DE CALLES ASEADAS")</f>
        <v>NÚMERO DE CALLES ASEADAS</v>
      </c>
      <c r="B52" s="46">
        <f ca="1">IFERROR(__xludf.DUMMYFUNCTION("""COMPUTED_VALUE"""),1)</f>
        <v>1</v>
      </c>
      <c r="C52" s="46"/>
      <c r="D52" s="46" t="str">
        <f ca="1">IFERROR(__xludf.DUMMYFUNCTION("""COMPUTED_VALUE"""),"ASCENDENTE")</f>
        <v>ASCENDENTE</v>
      </c>
      <c r="E52" s="46" t="str">
        <f ca="1">IFERROR(__xludf.DUMMYFUNCTION("""COMPUTED_VALUE"""),"BITACORA OPERATIVA")</f>
        <v>BITACORA OPERATIVA</v>
      </c>
      <c r="F52" s="47">
        <f ca="1">IFERROR(__xludf.DUMMYFUNCTION("""COMPUTED_VALUE"""),0)</f>
        <v>0</v>
      </c>
      <c r="G52" s="48">
        <f ca="1">IFERROR(__xludf.DUMMYFUNCTION("""COMPUTED_VALUE"""),0)</f>
        <v>0</v>
      </c>
      <c r="H52" s="48">
        <f ca="1">IFERROR(__xludf.DUMMYFUNCTION("""COMPUTED_VALUE"""),0)</f>
        <v>0</v>
      </c>
      <c r="I52" s="48">
        <f ca="1">IFERROR(__xludf.DUMMYFUNCTION("""COMPUTED_VALUE"""),0)</f>
        <v>0</v>
      </c>
      <c r="J52" s="48">
        <f ca="1">IFERROR(__xludf.DUMMYFUNCTION("""COMPUTED_VALUE"""),0)</f>
        <v>0</v>
      </c>
      <c r="K52" s="48">
        <f ca="1">IFERROR(__xludf.DUMMYFUNCTION("""COMPUTED_VALUE"""),0)</f>
        <v>0</v>
      </c>
      <c r="L52" s="48">
        <f ca="1">IFERROR(__xludf.DUMMYFUNCTION("""COMPUTED_VALUE"""),0)</f>
        <v>0</v>
      </c>
      <c r="M52" s="48">
        <f ca="1">IFERROR(__xludf.DUMMYFUNCTION("""COMPUTED_VALUE"""),0)</f>
        <v>0</v>
      </c>
      <c r="N52" s="48">
        <f ca="1">IFERROR(__xludf.DUMMYFUNCTION("""COMPUTED_VALUE"""),0)</f>
        <v>0</v>
      </c>
      <c r="O52" s="48">
        <f ca="1">IFERROR(__xludf.DUMMYFUNCTION("""COMPUTED_VALUE"""),0)</f>
        <v>0</v>
      </c>
      <c r="P52" s="48">
        <f ca="1">IFERROR(__xludf.DUMMYFUNCTION("""COMPUTED_VALUE"""),0)</f>
        <v>0</v>
      </c>
      <c r="Q52" s="48">
        <f ca="1">IFERROR(__xludf.DUMMYFUNCTION("""COMPUTED_VALUE"""),0)</f>
        <v>0</v>
      </c>
      <c r="R52" s="48">
        <f ca="1">IFERROR(__xludf.DUMMYFUNCTION("""COMPUTED_VALUE"""),0)</f>
        <v>0</v>
      </c>
      <c r="S52" s="48">
        <f ca="1">IFERROR(__xludf.DUMMYFUNCTION("""COMPUTED_VALUE"""),0)</f>
        <v>0</v>
      </c>
    </row>
    <row r="53" spans="1:19">
      <c r="A53" s="46" t="str">
        <f ca="1">IFERROR(__xludf.DUMMYFUNCTION("""COMPUTED_VALUE"""),"TONELADAS RECOLECTADAS")</f>
        <v>TONELADAS RECOLECTADAS</v>
      </c>
      <c r="B53" s="46">
        <f ca="1">IFERROR(__xludf.DUMMYFUNCTION("""COMPUTED_VALUE"""),1)</f>
        <v>1</v>
      </c>
      <c r="C53" s="46"/>
      <c r="D53" s="46" t="str">
        <f ca="1">IFERROR(__xludf.DUMMYFUNCTION("""COMPUTED_VALUE"""),"ASCENDENTE")</f>
        <v>ASCENDENTE</v>
      </c>
      <c r="E53" s="46" t="str">
        <f ca="1">IFERROR(__xludf.DUMMYFUNCTION("""COMPUTED_VALUE"""),"BITACORA OPERATIVA")</f>
        <v>BITACORA OPERATIVA</v>
      </c>
      <c r="F53" s="47">
        <f ca="1">IFERROR(__xludf.DUMMYFUNCTION("""COMPUTED_VALUE"""),0)</f>
        <v>0</v>
      </c>
      <c r="G53" s="48">
        <f ca="1">IFERROR(__xludf.DUMMYFUNCTION("""COMPUTED_VALUE"""),30)</f>
        <v>30</v>
      </c>
      <c r="H53" s="48">
        <f ca="1">IFERROR(__xludf.DUMMYFUNCTION("""COMPUTED_VALUE"""),30)</f>
        <v>30</v>
      </c>
      <c r="I53" s="48">
        <f ca="1">IFERROR(__xludf.DUMMYFUNCTION("""COMPUTED_VALUE"""),0)</f>
        <v>0</v>
      </c>
      <c r="J53" s="48">
        <f ca="1">IFERROR(__xludf.DUMMYFUNCTION("""COMPUTED_VALUE"""),0)</f>
        <v>0</v>
      </c>
      <c r="K53" s="48">
        <f ca="1">IFERROR(__xludf.DUMMYFUNCTION("""COMPUTED_VALUE"""),0)</f>
        <v>0</v>
      </c>
      <c r="L53" s="48">
        <f ca="1">IFERROR(__xludf.DUMMYFUNCTION("""COMPUTED_VALUE"""),0)</f>
        <v>0</v>
      </c>
      <c r="M53" s="48">
        <f ca="1">IFERROR(__xludf.DUMMYFUNCTION("""COMPUTED_VALUE"""),0)</f>
        <v>0</v>
      </c>
      <c r="N53" s="48">
        <f ca="1">IFERROR(__xludf.DUMMYFUNCTION("""COMPUTED_VALUE"""),0)</f>
        <v>0</v>
      </c>
      <c r="O53" s="48">
        <f ca="1">IFERROR(__xludf.DUMMYFUNCTION("""COMPUTED_VALUE"""),0)</f>
        <v>0</v>
      </c>
      <c r="P53" s="48">
        <f ca="1">IFERROR(__xludf.DUMMYFUNCTION("""COMPUTED_VALUE"""),0)</f>
        <v>0</v>
      </c>
      <c r="Q53" s="48">
        <f ca="1">IFERROR(__xludf.DUMMYFUNCTION("""COMPUTED_VALUE"""),0)</f>
        <v>0</v>
      </c>
      <c r="R53" s="48">
        <f ca="1">IFERROR(__xludf.DUMMYFUNCTION("""COMPUTED_VALUE"""),0)</f>
        <v>0</v>
      </c>
      <c r="S53" s="48">
        <f ca="1">IFERROR(__xludf.DUMMYFUNCTION("""COMPUTED_VALUE"""),60)</f>
        <v>60</v>
      </c>
    </row>
    <row r="54" spans="1:19">
      <c r="A54" s="46" t="str">
        <f ca="1">IFERROR(__xludf.DUMMYFUNCTION("""COMPUTED_VALUE"""),"REPARACIÓN DE SUSPENSIONES")</f>
        <v>REPARACIÓN DE SUSPENSIONES</v>
      </c>
      <c r="B54" s="46">
        <f ca="1">IFERROR(__xludf.DUMMYFUNCTION("""COMPUTED_VALUE"""),1)</f>
        <v>1</v>
      </c>
      <c r="C54" s="46"/>
      <c r="D54" s="46" t="str">
        <f ca="1">IFERROR(__xludf.DUMMYFUNCTION("""COMPUTED_VALUE"""),"ASCENDENTE")</f>
        <v>ASCENDENTE</v>
      </c>
      <c r="E54" s="46" t="str">
        <f ca="1">IFERROR(__xludf.DUMMYFUNCTION("""COMPUTED_VALUE"""),"BITACORA OPERATIVA")</f>
        <v>BITACORA OPERATIVA</v>
      </c>
      <c r="F54" s="47">
        <f ca="1">IFERROR(__xludf.DUMMYFUNCTION("""COMPUTED_VALUE"""),0)</f>
        <v>0</v>
      </c>
      <c r="G54" s="48">
        <f ca="1">IFERROR(__xludf.DUMMYFUNCTION("""COMPUTED_VALUE"""),209)</f>
        <v>209</v>
      </c>
      <c r="H54" s="48">
        <f ca="1">IFERROR(__xludf.DUMMYFUNCTION("""COMPUTED_VALUE"""),217)</f>
        <v>217</v>
      </c>
      <c r="I54" s="48">
        <f ca="1">IFERROR(__xludf.DUMMYFUNCTION("""COMPUTED_VALUE"""),0)</f>
        <v>0</v>
      </c>
      <c r="J54" s="48">
        <f ca="1">IFERROR(__xludf.DUMMYFUNCTION("""COMPUTED_VALUE"""),0)</f>
        <v>0</v>
      </c>
      <c r="K54" s="48">
        <f ca="1">IFERROR(__xludf.DUMMYFUNCTION("""COMPUTED_VALUE"""),0)</f>
        <v>0</v>
      </c>
      <c r="L54" s="48">
        <f ca="1">IFERROR(__xludf.DUMMYFUNCTION("""COMPUTED_VALUE"""),0)</f>
        <v>0</v>
      </c>
      <c r="M54" s="48">
        <f ca="1">IFERROR(__xludf.DUMMYFUNCTION("""COMPUTED_VALUE"""),0)</f>
        <v>0</v>
      </c>
      <c r="N54" s="48">
        <f ca="1">IFERROR(__xludf.DUMMYFUNCTION("""COMPUTED_VALUE"""),0)</f>
        <v>0</v>
      </c>
      <c r="O54" s="48">
        <f ca="1">IFERROR(__xludf.DUMMYFUNCTION("""COMPUTED_VALUE"""),0)</f>
        <v>0</v>
      </c>
      <c r="P54" s="48">
        <f ca="1">IFERROR(__xludf.DUMMYFUNCTION("""COMPUTED_VALUE"""),0)</f>
        <v>0</v>
      </c>
      <c r="Q54" s="48">
        <f ca="1">IFERROR(__xludf.DUMMYFUNCTION("""COMPUTED_VALUE"""),0)</f>
        <v>0</v>
      </c>
      <c r="R54" s="48">
        <f ca="1">IFERROR(__xludf.DUMMYFUNCTION("""COMPUTED_VALUE"""),0)</f>
        <v>0</v>
      </c>
      <c r="S54" s="48">
        <f ca="1">IFERROR(__xludf.DUMMYFUNCTION("""COMPUTED_VALUE"""),426)</f>
        <v>426</v>
      </c>
    </row>
    <row r="55" spans="1:19">
      <c r="A55" s="46" t="str">
        <f ca="1">IFERROR(__xludf.DUMMYFUNCTION("""COMPUTED_VALUE"""),"REPARACIONES VARIAS")</f>
        <v>REPARACIONES VARIAS</v>
      </c>
      <c r="B55" s="46">
        <f ca="1">IFERROR(__xludf.DUMMYFUNCTION("""COMPUTED_VALUE"""),1)</f>
        <v>1</v>
      </c>
      <c r="C55" s="46"/>
      <c r="D55" s="46" t="str">
        <f ca="1">IFERROR(__xludf.DUMMYFUNCTION("""COMPUTED_VALUE"""),"ASCENDENTE")</f>
        <v>ASCENDENTE</v>
      </c>
      <c r="E55" s="46" t="str">
        <f ca="1">IFERROR(__xludf.DUMMYFUNCTION("""COMPUTED_VALUE"""),"BITACORA OPERATIVA")</f>
        <v>BITACORA OPERATIVA</v>
      </c>
      <c r="F55" s="47">
        <f ca="1">IFERROR(__xludf.DUMMYFUNCTION("""COMPUTED_VALUE"""),0)</f>
        <v>0</v>
      </c>
      <c r="G55" s="48">
        <f ca="1">IFERROR(__xludf.DUMMYFUNCTION("""COMPUTED_VALUE"""),1)</f>
        <v>1</v>
      </c>
      <c r="H55" s="48">
        <f ca="1">IFERROR(__xludf.DUMMYFUNCTION("""COMPUTED_VALUE"""),14)</f>
        <v>14</v>
      </c>
      <c r="I55" s="48">
        <f ca="1">IFERROR(__xludf.DUMMYFUNCTION("""COMPUTED_VALUE"""),0)</f>
        <v>0</v>
      </c>
      <c r="J55" s="48">
        <f ca="1">IFERROR(__xludf.DUMMYFUNCTION("""COMPUTED_VALUE"""),0)</f>
        <v>0</v>
      </c>
      <c r="K55" s="48">
        <f ca="1">IFERROR(__xludf.DUMMYFUNCTION("""COMPUTED_VALUE"""),0)</f>
        <v>0</v>
      </c>
      <c r="L55" s="48">
        <f ca="1">IFERROR(__xludf.DUMMYFUNCTION("""COMPUTED_VALUE"""),0)</f>
        <v>0</v>
      </c>
      <c r="M55" s="48">
        <f ca="1">IFERROR(__xludf.DUMMYFUNCTION("""COMPUTED_VALUE"""),0)</f>
        <v>0</v>
      </c>
      <c r="N55" s="48">
        <f ca="1">IFERROR(__xludf.DUMMYFUNCTION("""COMPUTED_VALUE"""),0)</f>
        <v>0</v>
      </c>
      <c r="O55" s="48">
        <f ca="1">IFERROR(__xludf.DUMMYFUNCTION("""COMPUTED_VALUE"""),0)</f>
        <v>0</v>
      </c>
      <c r="P55" s="48">
        <f ca="1">IFERROR(__xludf.DUMMYFUNCTION("""COMPUTED_VALUE"""),0)</f>
        <v>0</v>
      </c>
      <c r="Q55" s="48">
        <f ca="1">IFERROR(__xludf.DUMMYFUNCTION("""COMPUTED_VALUE"""),0)</f>
        <v>0</v>
      </c>
      <c r="R55" s="48">
        <f ca="1">IFERROR(__xludf.DUMMYFUNCTION("""COMPUTED_VALUE"""),0)</f>
        <v>0</v>
      </c>
      <c r="S55" s="48">
        <f ca="1">IFERROR(__xludf.DUMMYFUNCTION("""COMPUTED_VALUE"""),15)</f>
        <v>15</v>
      </c>
    </row>
    <row r="56" spans="1:19">
      <c r="A56" s="46" t="str">
        <f ca="1">IFERROR(__xludf.DUMMYFUNCTION("""COMPUTED_VALUE"""),"REVISIÓN DE NIVELES (DIARIO)")</f>
        <v>REVISIÓN DE NIVELES (DIARIO)</v>
      </c>
      <c r="B56" s="46">
        <f ca="1">IFERROR(__xludf.DUMMYFUNCTION("""COMPUTED_VALUE"""),1)</f>
        <v>1</v>
      </c>
      <c r="C56" s="46"/>
      <c r="D56" s="46" t="str">
        <f ca="1">IFERROR(__xludf.DUMMYFUNCTION("""COMPUTED_VALUE"""),"ASCENDENTE")</f>
        <v>ASCENDENTE</v>
      </c>
      <c r="E56" s="46" t="str">
        <f ca="1">IFERROR(__xludf.DUMMYFUNCTION("""COMPUTED_VALUE"""),"BITACORA OPERATIVA")</f>
        <v>BITACORA OPERATIVA</v>
      </c>
      <c r="F56" s="47">
        <f ca="1">IFERROR(__xludf.DUMMYFUNCTION("""COMPUTED_VALUE"""),0)</f>
        <v>0</v>
      </c>
      <c r="G56" s="48">
        <f ca="1">IFERROR(__xludf.DUMMYFUNCTION("""COMPUTED_VALUE"""),7)</f>
        <v>7</v>
      </c>
      <c r="H56" s="48">
        <f ca="1">IFERROR(__xludf.DUMMYFUNCTION("""COMPUTED_VALUE"""),37)</f>
        <v>37</v>
      </c>
      <c r="I56" s="48">
        <f ca="1">IFERROR(__xludf.DUMMYFUNCTION("""COMPUTED_VALUE"""),0)</f>
        <v>0</v>
      </c>
      <c r="J56" s="48">
        <f ca="1">IFERROR(__xludf.DUMMYFUNCTION("""COMPUTED_VALUE"""),0)</f>
        <v>0</v>
      </c>
      <c r="K56" s="48">
        <f ca="1">IFERROR(__xludf.DUMMYFUNCTION("""COMPUTED_VALUE"""),0)</f>
        <v>0</v>
      </c>
      <c r="L56" s="48">
        <f ca="1">IFERROR(__xludf.DUMMYFUNCTION("""COMPUTED_VALUE"""),0)</f>
        <v>0</v>
      </c>
      <c r="M56" s="48">
        <f ca="1">IFERROR(__xludf.DUMMYFUNCTION("""COMPUTED_VALUE"""),0)</f>
        <v>0</v>
      </c>
      <c r="N56" s="48">
        <f ca="1">IFERROR(__xludf.DUMMYFUNCTION("""COMPUTED_VALUE"""),0)</f>
        <v>0</v>
      </c>
      <c r="O56" s="48">
        <f ca="1">IFERROR(__xludf.DUMMYFUNCTION("""COMPUTED_VALUE"""),0)</f>
        <v>0</v>
      </c>
      <c r="P56" s="48">
        <f ca="1">IFERROR(__xludf.DUMMYFUNCTION("""COMPUTED_VALUE"""),0)</f>
        <v>0</v>
      </c>
      <c r="Q56" s="48">
        <f ca="1">IFERROR(__xludf.DUMMYFUNCTION("""COMPUTED_VALUE"""),0)</f>
        <v>0</v>
      </c>
      <c r="R56" s="48">
        <f ca="1">IFERROR(__xludf.DUMMYFUNCTION("""COMPUTED_VALUE"""),0)</f>
        <v>0</v>
      </c>
      <c r="S56" s="48">
        <f ca="1">IFERROR(__xludf.DUMMYFUNCTION("""COMPUTED_VALUE"""),44)</f>
        <v>44</v>
      </c>
    </row>
    <row r="57" spans="1:19">
      <c r="A57" s="46" t="str">
        <f ca="1">IFERROR(__xludf.DUMMYFUNCTION("""COMPUTED_VALUE"""),"REPARACIONES ELÉCTRICAS")</f>
        <v>REPARACIONES ELÉCTRICAS</v>
      </c>
      <c r="B57" s="46">
        <f ca="1">IFERROR(__xludf.DUMMYFUNCTION("""COMPUTED_VALUE"""),1)</f>
        <v>1</v>
      </c>
      <c r="C57" s="46"/>
      <c r="D57" s="46" t="str">
        <f ca="1">IFERROR(__xludf.DUMMYFUNCTION("""COMPUTED_VALUE"""),"ASCENDENTE")</f>
        <v>ASCENDENTE</v>
      </c>
      <c r="E57" s="46" t="str">
        <f ca="1">IFERROR(__xludf.DUMMYFUNCTION("""COMPUTED_VALUE"""),"BITACORA OPERATIVA")</f>
        <v>BITACORA OPERATIVA</v>
      </c>
      <c r="F57" s="47">
        <f ca="1">IFERROR(__xludf.DUMMYFUNCTION("""COMPUTED_VALUE"""),0)</f>
        <v>0</v>
      </c>
      <c r="G57" s="48">
        <f ca="1">IFERROR(__xludf.DUMMYFUNCTION("""COMPUTED_VALUE"""),3)</f>
        <v>3</v>
      </c>
      <c r="H57" s="48">
        <f ca="1">IFERROR(__xludf.DUMMYFUNCTION("""COMPUTED_VALUE"""),11)</f>
        <v>11</v>
      </c>
      <c r="I57" s="48">
        <f ca="1">IFERROR(__xludf.DUMMYFUNCTION("""COMPUTED_VALUE"""),0)</f>
        <v>0</v>
      </c>
      <c r="J57" s="48">
        <f ca="1">IFERROR(__xludf.DUMMYFUNCTION("""COMPUTED_VALUE"""),0)</f>
        <v>0</v>
      </c>
      <c r="K57" s="48">
        <f ca="1">IFERROR(__xludf.DUMMYFUNCTION("""COMPUTED_VALUE"""),0)</f>
        <v>0</v>
      </c>
      <c r="L57" s="48">
        <f ca="1">IFERROR(__xludf.DUMMYFUNCTION("""COMPUTED_VALUE"""),0)</f>
        <v>0</v>
      </c>
      <c r="M57" s="48">
        <f ca="1">IFERROR(__xludf.DUMMYFUNCTION("""COMPUTED_VALUE"""),0)</f>
        <v>0</v>
      </c>
      <c r="N57" s="48">
        <f ca="1">IFERROR(__xludf.DUMMYFUNCTION("""COMPUTED_VALUE"""),0)</f>
        <v>0</v>
      </c>
      <c r="O57" s="48">
        <f ca="1">IFERROR(__xludf.DUMMYFUNCTION("""COMPUTED_VALUE"""),0)</f>
        <v>0</v>
      </c>
      <c r="P57" s="48">
        <f ca="1">IFERROR(__xludf.DUMMYFUNCTION("""COMPUTED_VALUE"""),0)</f>
        <v>0</v>
      </c>
      <c r="Q57" s="48">
        <f ca="1">IFERROR(__xludf.DUMMYFUNCTION("""COMPUTED_VALUE"""),0)</f>
        <v>0</v>
      </c>
      <c r="R57" s="48">
        <f ca="1">IFERROR(__xludf.DUMMYFUNCTION("""COMPUTED_VALUE"""),0)</f>
        <v>0</v>
      </c>
      <c r="S57" s="48">
        <f ca="1">IFERROR(__xludf.DUMMYFUNCTION("""COMPUTED_VALUE"""),14)</f>
        <v>14</v>
      </c>
    </row>
    <row r="58" spans="1:19">
      <c r="A58" s="46" t="str">
        <f ca="1">IFERROR(__xludf.DUMMYFUNCTION("""COMPUTED_VALUE""")," REPARACION DE VEHICULOS EN TALLER MUNICIPAL")</f>
        <v xml:space="preserve"> REPARACION DE VEHICULOS EN TALLER MUNICIPAL</v>
      </c>
      <c r="B58" s="46">
        <f ca="1">IFERROR(__xludf.DUMMYFUNCTION("""COMPUTED_VALUE"""),1)</f>
        <v>1</v>
      </c>
      <c r="C58" s="46"/>
      <c r="D58" s="46" t="str">
        <f ca="1">IFERROR(__xludf.DUMMYFUNCTION("""COMPUTED_VALUE"""),"ASCENDENTE")</f>
        <v>ASCENDENTE</v>
      </c>
      <c r="E58" s="46" t="str">
        <f ca="1">IFERROR(__xludf.DUMMYFUNCTION("""COMPUTED_VALUE"""),"BITACORA OPERATIVA")</f>
        <v>BITACORA OPERATIVA</v>
      </c>
      <c r="F58" s="47">
        <f ca="1">IFERROR(__xludf.DUMMYFUNCTION("""COMPUTED_VALUE"""),0)</f>
        <v>0</v>
      </c>
      <c r="G58" s="48">
        <f ca="1">IFERROR(__xludf.DUMMYFUNCTION("""COMPUTED_VALUE"""),9)</f>
        <v>9</v>
      </c>
      <c r="H58" s="48">
        <f ca="1">IFERROR(__xludf.DUMMYFUNCTION("""COMPUTED_VALUE"""),17)</f>
        <v>17</v>
      </c>
      <c r="I58" s="48">
        <f ca="1">IFERROR(__xludf.DUMMYFUNCTION("""COMPUTED_VALUE"""),0)</f>
        <v>0</v>
      </c>
      <c r="J58" s="48">
        <f ca="1">IFERROR(__xludf.DUMMYFUNCTION("""COMPUTED_VALUE"""),0)</f>
        <v>0</v>
      </c>
      <c r="K58" s="48">
        <f ca="1">IFERROR(__xludf.DUMMYFUNCTION("""COMPUTED_VALUE"""),0)</f>
        <v>0</v>
      </c>
      <c r="L58" s="48">
        <f ca="1">IFERROR(__xludf.DUMMYFUNCTION("""COMPUTED_VALUE"""),0)</f>
        <v>0</v>
      </c>
      <c r="M58" s="48">
        <f ca="1">IFERROR(__xludf.DUMMYFUNCTION("""COMPUTED_VALUE"""),0)</f>
        <v>0</v>
      </c>
      <c r="N58" s="48">
        <f ca="1">IFERROR(__xludf.DUMMYFUNCTION("""COMPUTED_VALUE"""),0)</f>
        <v>0</v>
      </c>
      <c r="O58" s="48">
        <f ca="1">IFERROR(__xludf.DUMMYFUNCTION("""COMPUTED_VALUE"""),0)</f>
        <v>0</v>
      </c>
      <c r="P58" s="48">
        <f ca="1">IFERROR(__xludf.DUMMYFUNCTION("""COMPUTED_VALUE"""),0)</f>
        <v>0</v>
      </c>
      <c r="Q58" s="48">
        <f ca="1">IFERROR(__xludf.DUMMYFUNCTION("""COMPUTED_VALUE"""),0)</f>
        <v>0</v>
      </c>
      <c r="R58" s="48">
        <f ca="1">IFERROR(__xludf.DUMMYFUNCTION("""COMPUTED_VALUE"""),0)</f>
        <v>0</v>
      </c>
      <c r="S58" s="48">
        <f ca="1">IFERROR(__xludf.DUMMYFUNCTION("""COMPUTED_VALUE"""),26)</f>
        <v>26</v>
      </c>
    </row>
    <row r="59" spans="1:19">
      <c r="A59" s="46" t="str">
        <f ca="1">IFERROR(__xludf.DUMMYFUNCTION("""COMPUTED_VALUE"""),"CANALIZACIÓN A TALLERES EXTERNOS (SUBROGADOS) ")</f>
        <v xml:space="preserve">CANALIZACIÓN A TALLERES EXTERNOS (SUBROGADOS) </v>
      </c>
      <c r="B59" s="46">
        <f ca="1">IFERROR(__xludf.DUMMYFUNCTION("""COMPUTED_VALUE"""),1)</f>
        <v>1</v>
      </c>
      <c r="C59" s="46"/>
      <c r="D59" s="46" t="str">
        <f ca="1">IFERROR(__xludf.DUMMYFUNCTION("""COMPUTED_VALUE"""),"ASCENDENTE")</f>
        <v>ASCENDENTE</v>
      </c>
      <c r="E59" s="46" t="str">
        <f ca="1">IFERROR(__xludf.DUMMYFUNCTION("""COMPUTED_VALUE"""),"BITACORA OPERATIVA")</f>
        <v>BITACORA OPERATIVA</v>
      </c>
      <c r="F59" s="47">
        <f ca="1">IFERROR(__xludf.DUMMYFUNCTION("""COMPUTED_VALUE"""),0)</f>
        <v>0</v>
      </c>
      <c r="G59" s="48">
        <f ca="1">IFERROR(__xludf.DUMMYFUNCTION("""COMPUTED_VALUE"""),24)</f>
        <v>24</v>
      </c>
      <c r="H59" s="48">
        <f ca="1">IFERROR(__xludf.DUMMYFUNCTION("""COMPUTED_VALUE"""),126)</f>
        <v>126</v>
      </c>
      <c r="I59" s="48">
        <f ca="1">IFERROR(__xludf.DUMMYFUNCTION("""COMPUTED_VALUE"""),0)</f>
        <v>0</v>
      </c>
      <c r="J59" s="48">
        <f ca="1">IFERROR(__xludf.DUMMYFUNCTION("""COMPUTED_VALUE"""),0)</f>
        <v>0</v>
      </c>
      <c r="K59" s="48">
        <f ca="1">IFERROR(__xludf.DUMMYFUNCTION("""COMPUTED_VALUE"""),0)</f>
        <v>0</v>
      </c>
      <c r="L59" s="48">
        <f ca="1">IFERROR(__xludf.DUMMYFUNCTION("""COMPUTED_VALUE"""),0)</f>
        <v>0</v>
      </c>
      <c r="M59" s="48">
        <f ca="1">IFERROR(__xludf.DUMMYFUNCTION("""COMPUTED_VALUE"""),0)</f>
        <v>0</v>
      </c>
      <c r="N59" s="48">
        <f ca="1">IFERROR(__xludf.DUMMYFUNCTION("""COMPUTED_VALUE"""),0)</f>
        <v>0</v>
      </c>
      <c r="O59" s="48">
        <f ca="1">IFERROR(__xludf.DUMMYFUNCTION("""COMPUTED_VALUE"""),0)</f>
        <v>0</v>
      </c>
      <c r="P59" s="48">
        <f ca="1">IFERROR(__xludf.DUMMYFUNCTION("""COMPUTED_VALUE"""),0)</f>
        <v>0</v>
      </c>
      <c r="Q59" s="48">
        <f ca="1">IFERROR(__xludf.DUMMYFUNCTION("""COMPUTED_VALUE"""),0)</f>
        <v>0</v>
      </c>
      <c r="R59" s="48">
        <f ca="1">IFERROR(__xludf.DUMMYFUNCTION("""COMPUTED_VALUE"""),0)</f>
        <v>0</v>
      </c>
      <c r="S59" s="48">
        <f ca="1">IFERROR(__xludf.DUMMYFUNCTION("""COMPUTED_VALUE"""),150)</f>
        <v>150</v>
      </c>
    </row>
    <row r="60" spans="1:19">
      <c r="A60" s="46" t="str">
        <f ca="1">IFERROR(__xludf.DUMMYFUNCTION("""COMPUTED_VALUE"""),"AFINACIONES")</f>
        <v>AFINACIONES</v>
      </c>
      <c r="B60" s="46">
        <f ca="1">IFERROR(__xludf.DUMMYFUNCTION("""COMPUTED_VALUE"""),1)</f>
        <v>1</v>
      </c>
      <c r="C60" s="46"/>
      <c r="D60" s="46" t="str">
        <f ca="1">IFERROR(__xludf.DUMMYFUNCTION("""COMPUTED_VALUE"""),"ASCENDENTE")</f>
        <v>ASCENDENTE</v>
      </c>
      <c r="E60" s="46" t="str">
        <f ca="1">IFERROR(__xludf.DUMMYFUNCTION("""COMPUTED_VALUE"""),"BITACORA OPERATIVA")</f>
        <v>BITACORA OPERATIVA</v>
      </c>
      <c r="F60" s="47">
        <f ca="1">IFERROR(__xludf.DUMMYFUNCTION("""COMPUTED_VALUE"""),0)</f>
        <v>0</v>
      </c>
      <c r="G60" s="48">
        <f ca="1">IFERROR(__xludf.DUMMYFUNCTION("""COMPUTED_VALUE"""),16)</f>
        <v>16</v>
      </c>
      <c r="H60" s="48">
        <f ca="1">IFERROR(__xludf.DUMMYFUNCTION("""COMPUTED_VALUE"""),25)</f>
        <v>25</v>
      </c>
      <c r="I60" s="48">
        <f ca="1">IFERROR(__xludf.DUMMYFUNCTION("""COMPUTED_VALUE"""),0)</f>
        <v>0</v>
      </c>
      <c r="J60" s="48">
        <f ca="1">IFERROR(__xludf.DUMMYFUNCTION("""COMPUTED_VALUE"""),0)</f>
        <v>0</v>
      </c>
      <c r="K60" s="48">
        <f ca="1">IFERROR(__xludf.DUMMYFUNCTION("""COMPUTED_VALUE"""),0)</f>
        <v>0</v>
      </c>
      <c r="L60" s="48">
        <f ca="1">IFERROR(__xludf.DUMMYFUNCTION("""COMPUTED_VALUE"""),0)</f>
        <v>0</v>
      </c>
      <c r="M60" s="48">
        <f ca="1">IFERROR(__xludf.DUMMYFUNCTION("""COMPUTED_VALUE"""),0)</f>
        <v>0</v>
      </c>
      <c r="N60" s="48">
        <f ca="1">IFERROR(__xludf.DUMMYFUNCTION("""COMPUTED_VALUE"""),0)</f>
        <v>0</v>
      </c>
      <c r="O60" s="48">
        <f ca="1">IFERROR(__xludf.DUMMYFUNCTION("""COMPUTED_VALUE"""),0)</f>
        <v>0</v>
      </c>
      <c r="P60" s="48">
        <f ca="1">IFERROR(__xludf.DUMMYFUNCTION("""COMPUTED_VALUE"""),0)</f>
        <v>0</v>
      </c>
      <c r="Q60" s="48">
        <f ca="1">IFERROR(__xludf.DUMMYFUNCTION("""COMPUTED_VALUE"""),0)</f>
        <v>0</v>
      </c>
      <c r="R60" s="48">
        <f ca="1">IFERROR(__xludf.DUMMYFUNCTION("""COMPUTED_VALUE"""),0)</f>
        <v>0</v>
      </c>
      <c r="S60" s="48">
        <f ca="1">IFERROR(__xludf.DUMMYFUNCTION("""COMPUTED_VALUE"""),41)</f>
        <v>41</v>
      </c>
    </row>
    <row r="61" spans="1:19">
      <c r="A61" s="46" t="str">
        <f ca="1">IFERROR(__xludf.DUMMYFUNCTION("""COMPUTED_VALUE"""),"CAMBIO DE TAMBORES ")</f>
        <v xml:space="preserve">CAMBIO DE TAMBORES </v>
      </c>
      <c r="B61" s="46">
        <f ca="1">IFERROR(__xludf.DUMMYFUNCTION("""COMPUTED_VALUE"""),1)</f>
        <v>1</v>
      </c>
      <c r="C61" s="46"/>
      <c r="D61" s="46" t="str">
        <f ca="1">IFERROR(__xludf.DUMMYFUNCTION("""COMPUTED_VALUE"""),"ASCENDENTE")</f>
        <v>ASCENDENTE</v>
      </c>
      <c r="E61" s="46" t="str">
        <f ca="1">IFERROR(__xludf.DUMMYFUNCTION("""COMPUTED_VALUE"""),"BITACORA OPERATIVA")</f>
        <v>BITACORA OPERATIVA</v>
      </c>
      <c r="F61" s="47">
        <f ca="1">IFERROR(__xludf.DUMMYFUNCTION("""COMPUTED_VALUE"""),0)</f>
        <v>0</v>
      </c>
      <c r="G61" s="48">
        <f ca="1">IFERROR(__xludf.DUMMYFUNCTION("""COMPUTED_VALUE"""),4)</f>
        <v>4</v>
      </c>
      <c r="H61" s="48">
        <f ca="1">IFERROR(__xludf.DUMMYFUNCTION("""COMPUTED_VALUE"""),18)</f>
        <v>18</v>
      </c>
      <c r="I61" s="48">
        <f ca="1">IFERROR(__xludf.DUMMYFUNCTION("""COMPUTED_VALUE"""),0)</f>
        <v>0</v>
      </c>
      <c r="J61" s="48">
        <f ca="1">IFERROR(__xludf.DUMMYFUNCTION("""COMPUTED_VALUE"""),0)</f>
        <v>0</v>
      </c>
      <c r="K61" s="48">
        <f ca="1">IFERROR(__xludf.DUMMYFUNCTION("""COMPUTED_VALUE"""),0)</f>
        <v>0</v>
      </c>
      <c r="L61" s="48">
        <f ca="1">IFERROR(__xludf.DUMMYFUNCTION("""COMPUTED_VALUE"""),0)</f>
        <v>0</v>
      </c>
      <c r="M61" s="48">
        <f ca="1">IFERROR(__xludf.DUMMYFUNCTION("""COMPUTED_VALUE"""),0)</f>
        <v>0</v>
      </c>
      <c r="N61" s="48">
        <f ca="1">IFERROR(__xludf.DUMMYFUNCTION("""COMPUTED_VALUE"""),0)</f>
        <v>0</v>
      </c>
      <c r="O61" s="48">
        <f ca="1">IFERROR(__xludf.DUMMYFUNCTION("""COMPUTED_VALUE"""),0)</f>
        <v>0</v>
      </c>
      <c r="P61" s="48">
        <f ca="1">IFERROR(__xludf.DUMMYFUNCTION("""COMPUTED_VALUE"""),0)</f>
        <v>0</v>
      </c>
      <c r="Q61" s="48">
        <f ca="1">IFERROR(__xludf.DUMMYFUNCTION("""COMPUTED_VALUE"""),0)</f>
        <v>0</v>
      </c>
      <c r="R61" s="48">
        <f ca="1">IFERROR(__xludf.DUMMYFUNCTION("""COMPUTED_VALUE"""),0)</f>
        <v>0</v>
      </c>
      <c r="S61" s="48">
        <f ca="1">IFERROR(__xludf.DUMMYFUNCTION("""COMPUTED_VALUE"""),22)</f>
        <v>22</v>
      </c>
    </row>
    <row r="62" spans="1:19">
      <c r="A62" s="46" t="str">
        <f ca="1">IFERROR(__xludf.DUMMYFUNCTION("""COMPUTED_VALUE"""),"CAMBIO DE BALATAS")</f>
        <v>CAMBIO DE BALATAS</v>
      </c>
      <c r="B62" s="46">
        <f ca="1">IFERROR(__xludf.DUMMYFUNCTION("""COMPUTED_VALUE"""),1)</f>
        <v>1</v>
      </c>
      <c r="C62" s="46"/>
      <c r="D62" s="46" t="str">
        <f ca="1">IFERROR(__xludf.DUMMYFUNCTION("""COMPUTED_VALUE"""),"ASCENDENTE")</f>
        <v>ASCENDENTE</v>
      </c>
      <c r="E62" s="46" t="str">
        <f ca="1">IFERROR(__xludf.DUMMYFUNCTION("""COMPUTED_VALUE"""),"BITACORA OPERATIVA")</f>
        <v>BITACORA OPERATIVA</v>
      </c>
      <c r="F62" s="47">
        <f ca="1">IFERROR(__xludf.DUMMYFUNCTION("""COMPUTED_VALUE"""),0)</f>
        <v>0</v>
      </c>
      <c r="G62" s="48">
        <f ca="1">IFERROR(__xludf.DUMMYFUNCTION("""COMPUTED_VALUE"""),0)</f>
        <v>0</v>
      </c>
      <c r="H62" s="48">
        <f ca="1">IFERROR(__xludf.DUMMYFUNCTION("""COMPUTED_VALUE"""),5)</f>
        <v>5</v>
      </c>
      <c r="I62" s="48">
        <f ca="1">IFERROR(__xludf.DUMMYFUNCTION("""COMPUTED_VALUE"""),0)</f>
        <v>0</v>
      </c>
      <c r="J62" s="48">
        <f ca="1">IFERROR(__xludf.DUMMYFUNCTION("""COMPUTED_VALUE"""),0)</f>
        <v>0</v>
      </c>
      <c r="K62" s="48">
        <f ca="1">IFERROR(__xludf.DUMMYFUNCTION("""COMPUTED_VALUE"""),0)</f>
        <v>0</v>
      </c>
      <c r="L62" s="48">
        <f ca="1">IFERROR(__xludf.DUMMYFUNCTION("""COMPUTED_VALUE"""),0)</f>
        <v>0</v>
      </c>
      <c r="M62" s="48">
        <f ca="1">IFERROR(__xludf.DUMMYFUNCTION("""COMPUTED_VALUE"""),0)</f>
        <v>0</v>
      </c>
      <c r="N62" s="48">
        <f ca="1">IFERROR(__xludf.DUMMYFUNCTION("""COMPUTED_VALUE"""),0)</f>
        <v>0</v>
      </c>
      <c r="O62" s="48">
        <f ca="1">IFERROR(__xludf.DUMMYFUNCTION("""COMPUTED_VALUE"""),0)</f>
        <v>0</v>
      </c>
      <c r="P62" s="48">
        <f ca="1">IFERROR(__xludf.DUMMYFUNCTION("""COMPUTED_VALUE"""),0)</f>
        <v>0</v>
      </c>
      <c r="Q62" s="48">
        <f ca="1">IFERROR(__xludf.DUMMYFUNCTION("""COMPUTED_VALUE"""),0)</f>
        <v>0</v>
      </c>
      <c r="R62" s="48">
        <f ca="1">IFERROR(__xludf.DUMMYFUNCTION("""COMPUTED_VALUE"""),0)</f>
        <v>0</v>
      </c>
      <c r="S62" s="48">
        <f ca="1">IFERROR(__xludf.DUMMYFUNCTION("""COMPUTED_VALUE"""),5)</f>
        <v>5</v>
      </c>
    </row>
    <row r="63" spans="1:19">
      <c r="A63" s="46" t="str">
        <f ca="1">IFERROR(__xludf.DUMMYFUNCTION("""COMPUTED_VALUE"""),"REPARACIÓN DE EQUIPOS DE JARDINERÍA (DESBROZADORAS, MOTOBOMBAS, MOTOSIERRAS, ETC.)")</f>
        <v>REPARACIÓN DE EQUIPOS DE JARDINERÍA (DESBROZADORAS, MOTOBOMBAS, MOTOSIERRAS, ETC.)</v>
      </c>
      <c r="B63" s="46">
        <f ca="1">IFERROR(__xludf.DUMMYFUNCTION("""COMPUTED_VALUE"""),1)</f>
        <v>1</v>
      </c>
      <c r="C63" s="46"/>
      <c r="D63" s="46" t="str">
        <f ca="1">IFERROR(__xludf.DUMMYFUNCTION("""COMPUTED_VALUE"""),"ASCENDENTE")</f>
        <v>ASCENDENTE</v>
      </c>
      <c r="E63" s="46" t="str">
        <f ca="1">IFERROR(__xludf.DUMMYFUNCTION("""COMPUTED_VALUE"""),"BITACORA OPERATIVA")</f>
        <v>BITACORA OPERATIVA</v>
      </c>
      <c r="F63" s="47">
        <f ca="1">IFERROR(__xludf.DUMMYFUNCTION("""COMPUTED_VALUE"""),0)</f>
        <v>0</v>
      </c>
      <c r="G63" s="48">
        <f ca="1">IFERROR(__xludf.DUMMYFUNCTION("""COMPUTED_VALUE"""),2)</f>
        <v>2</v>
      </c>
      <c r="H63" s="48">
        <f ca="1">IFERROR(__xludf.DUMMYFUNCTION("""COMPUTED_VALUE"""),24)</f>
        <v>24</v>
      </c>
      <c r="I63" s="48">
        <f ca="1">IFERROR(__xludf.DUMMYFUNCTION("""COMPUTED_VALUE"""),0)</f>
        <v>0</v>
      </c>
      <c r="J63" s="48">
        <f ca="1">IFERROR(__xludf.DUMMYFUNCTION("""COMPUTED_VALUE"""),0)</f>
        <v>0</v>
      </c>
      <c r="K63" s="48">
        <f ca="1">IFERROR(__xludf.DUMMYFUNCTION("""COMPUTED_VALUE"""),0)</f>
        <v>0</v>
      </c>
      <c r="L63" s="48">
        <f ca="1">IFERROR(__xludf.DUMMYFUNCTION("""COMPUTED_VALUE"""),0)</f>
        <v>0</v>
      </c>
      <c r="M63" s="48">
        <f ca="1">IFERROR(__xludf.DUMMYFUNCTION("""COMPUTED_VALUE"""),0)</f>
        <v>0</v>
      </c>
      <c r="N63" s="48">
        <f ca="1">IFERROR(__xludf.DUMMYFUNCTION("""COMPUTED_VALUE"""),0)</f>
        <v>0</v>
      </c>
      <c r="O63" s="48">
        <f ca="1">IFERROR(__xludf.DUMMYFUNCTION("""COMPUTED_VALUE"""),0)</f>
        <v>0</v>
      </c>
      <c r="P63" s="48">
        <f ca="1">IFERROR(__xludf.DUMMYFUNCTION("""COMPUTED_VALUE"""),0)</f>
        <v>0</v>
      </c>
      <c r="Q63" s="48">
        <f ca="1">IFERROR(__xludf.DUMMYFUNCTION("""COMPUTED_VALUE"""),0)</f>
        <v>0</v>
      </c>
      <c r="R63" s="48">
        <f ca="1">IFERROR(__xludf.DUMMYFUNCTION("""COMPUTED_VALUE"""),0)</f>
        <v>0</v>
      </c>
      <c r="S63" s="48">
        <f ca="1">IFERROR(__xludf.DUMMYFUNCTION("""COMPUTED_VALUE"""),26)</f>
        <v>26</v>
      </c>
    </row>
    <row r="64" spans="1:19">
      <c r="A64" s="46" t="str">
        <f ca="1">IFERROR(__xludf.DUMMYFUNCTION("""COMPUTED_VALUE"""),"RECARGAS DE ACEITE")</f>
        <v>RECARGAS DE ACEITE</v>
      </c>
      <c r="B64" s="46">
        <f ca="1">IFERROR(__xludf.DUMMYFUNCTION("""COMPUTED_VALUE"""),1)</f>
        <v>1</v>
      </c>
      <c r="C64" s="46"/>
      <c r="D64" s="46" t="str">
        <f ca="1">IFERROR(__xludf.DUMMYFUNCTION("""COMPUTED_VALUE"""),"ASCENDENTE")</f>
        <v>ASCENDENTE</v>
      </c>
      <c r="E64" s="46" t="str">
        <f ca="1">IFERROR(__xludf.DUMMYFUNCTION("""COMPUTED_VALUE"""),"BITACORA OPERATIVA")</f>
        <v>BITACORA OPERATIVA</v>
      </c>
      <c r="F64" s="47">
        <f ca="1">IFERROR(__xludf.DUMMYFUNCTION("""COMPUTED_VALUE"""),0)</f>
        <v>0</v>
      </c>
      <c r="G64" s="48">
        <f ca="1">IFERROR(__xludf.DUMMYFUNCTION("""COMPUTED_VALUE"""),17)</f>
        <v>17</v>
      </c>
      <c r="H64" s="48">
        <f ca="1">IFERROR(__xludf.DUMMYFUNCTION("""COMPUTED_VALUE"""),40)</f>
        <v>40</v>
      </c>
      <c r="I64" s="48">
        <f ca="1">IFERROR(__xludf.DUMMYFUNCTION("""COMPUTED_VALUE"""),0)</f>
        <v>0</v>
      </c>
      <c r="J64" s="48">
        <f ca="1">IFERROR(__xludf.DUMMYFUNCTION("""COMPUTED_VALUE"""),0)</f>
        <v>0</v>
      </c>
      <c r="K64" s="48">
        <f ca="1">IFERROR(__xludf.DUMMYFUNCTION("""COMPUTED_VALUE"""),0)</f>
        <v>0</v>
      </c>
      <c r="L64" s="48">
        <f ca="1">IFERROR(__xludf.DUMMYFUNCTION("""COMPUTED_VALUE"""),0)</f>
        <v>0</v>
      </c>
      <c r="M64" s="48">
        <f ca="1">IFERROR(__xludf.DUMMYFUNCTION("""COMPUTED_VALUE"""),0)</f>
        <v>0</v>
      </c>
      <c r="N64" s="48">
        <f ca="1">IFERROR(__xludf.DUMMYFUNCTION("""COMPUTED_VALUE"""),0)</f>
        <v>0</v>
      </c>
      <c r="O64" s="48">
        <f ca="1">IFERROR(__xludf.DUMMYFUNCTION("""COMPUTED_VALUE"""),0)</f>
        <v>0</v>
      </c>
      <c r="P64" s="48">
        <f ca="1">IFERROR(__xludf.DUMMYFUNCTION("""COMPUTED_VALUE"""),0)</f>
        <v>0</v>
      </c>
      <c r="Q64" s="48">
        <f ca="1">IFERROR(__xludf.DUMMYFUNCTION("""COMPUTED_VALUE"""),0)</f>
        <v>0</v>
      </c>
      <c r="R64" s="48">
        <f ca="1">IFERROR(__xludf.DUMMYFUNCTION("""COMPUTED_VALUE"""),0)</f>
        <v>0</v>
      </c>
      <c r="S64" s="48">
        <f ca="1">IFERROR(__xludf.DUMMYFUNCTION("""COMPUTED_VALUE"""),57)</f>
        <v>57</v>
      </c>
    </row>
    <row r="65" spans="1:19">
      <c r="A65" s="46" t="str">
        <f ca="1">IFERROR(__xludf.DUMMYFUNCTION("""COMPUTED_VALUE"""),"INSTALACIÓN DE TABLAROCA M2")</f>
        <v>INSTALACIÓN DE TABLAROCA M2</v>
      </c>
      <c r="B65" s="46">
        <f ca="1">IFERROR(__xludf.DUMMYFUNCTION("""COMPUTED_VALUE"""),1)</f>
        <v>1</v>
      </c>
      <c r="C65" s="46"/>
      <c r="D65" s="46" t="str">
        <f ca="1">IFERROR(__xludf.DUMMYFUNCTION("""COMPUTED_VALUE"""),"ASCENDENTE")</f>
        <v>ASCENDENTE</v>
      </c>
      <c r="E65" s="46" t="str">
        <f ca="1">IFERROR(__xludf.DUMMYFUNCTION("""COMPUTED_VALUE"""),"BITACORA OPERATIVA")</f>
        <v>BITACORA OPERATIVA</v>
      </c>
      <c r="F65" s="47">
        <f ca="1">IFERROR(__xludf.DUMMYFUNCTION("""COMPUTED_VALUE"""),0)</f>
        <v>0</v>
      </c>
      <c r="G65" s="48">
        <f ca="1">IFERROR(__xludf.DUMMYFUNCTION("""COMPUTED_VALUE"""),4)</f>
        <v>4</v>
      </c>
      <c r="H65" s="48">
        <f ca="1">IFERROR(__xludf.DUMMYFUNCTION("""COMPUTED_VALUE"""),3)</f>
        <v>3</v>
      </c>
      <c r="I65" s="48">
        <f ca="1">IFERROR(__xludf.DUMMYFUNCTION("""COMPUTED_VALUE"""),0)</f>
        <v>0</v>
      </c>
      <c r="J65" s="48">
        <f ca="1">IFERROR(__xludf.DUMMYFUNCTION("""COMPUTED_VALUE"""),0)</f>
        <v>0</v>
      </c>
      <c r="K65" s="48">
        <f ca="1">IFERROR(__xludf.DUMMYFUNCTION("""COMPUTED_VALUE"""),0)</f>
        <v>0</v>
      </c>
      <c r="L65" s="48">
        <f ca="1">IFERROR(__xludf.DUMMYFUNCTION("""COMPUTED_VALUE"""),0)</f>
        <v>0</v>
      </c>
      <c r="M65" s="48">
        <f ca="1">IFERROR(__xludf.DUMMYFUNCTION("""COMPUTED_VALUE"""),0)</f>
        <v>0</v>
      </c>
      <c r="N65" s="48">
        <f ca="1">IFERROR(__xludf.DUMMYFUNCTION("""COMPUTED_VALUE"""),0)</f>
        <v>0</v>
      </c>
      <c r="O65" s="48">
        <f ca="1">IFERROR(__xludf.DUMMYFUNCTION("""COMPUTED_VALUE"""),0)</f>
        <v>0</v>
      </c>
      <c r="P65" s="48">
        <f ca="1">IFERROR(__xludf.DUMMYFUNCTION("""COMPUTED_VALUE"""),0)</f>
        <v>0</v>
      </c>
      <c r="Q65" s="48">
        <f ca="1">IFERROR(__xludf.DUMMYFUNCTION("""COMPUTED_VALUE"""),0)</f>
        <v>0</v>
      </c>
      <c r="R65" s="48">
        <f ca="1">IFERROR(__xludf.DUMMYFUNCTION("""COMPUTED_VALUE"""),0)</f>
        <v>0</v>
      </c>
      <c r="S65" s="48">
        <f ca="1">IFERROR(__xludf.DUMMYFUNCTION("""COMPUTED_VALUE"""),7)</f>
        <v>7</v>
      </c>
    </row>
    <row r="66" spans="1:19">
      <c r="A66" s="46" t="str">
        <f ca="1">IFERROR(__xludf.DUMMYFUNCTION("""COMPUTED_VALUE"""),"CALLES  BACHEADAS (NO. BACHES)")</f>
        <v>CALLES  BACHEADAS (NO. BACHES)</v>
      </c>
      <c r="B66" s="46">
        <f ca="1">IFERROR(__xludf.DUMMYFUNCTION("""COMPUTED_VALUE"""),1)</f>
        <v>1</v>
      </c>
      <c r="C66" s="46"/>
      <c r="D66" s="46" t="str">
        <f ca="1">IFERROR(__xludf.DUMMYFUNCTION("""COMPUTED_VALUE"""),"ASCENDENTE")</f>
        <v>ASCENDENTE</v>
      </c>
      <c r="E66" s="46" t="str">
        <f ca="1">IFERROR(__xludf.DUMMYFUNCTION("""COMPUTED_VALUE"""),"BITACORA OPERATIVA")</f>
        <v>BITACORA OPERATIVA</v>
      </c>
      <c r="F66" s="47">
        <f ca="1">IFERROR(__xludf.DUMMYFUNCTION("""COMPUTED_VALUE"""),0)</f>
        <v>0</v>
      </c>
      <c r="G66" s="48">
        <f ca="1">IFERROR(__xludf.DUMMYFUNCTION("""COMPUTED_VALUE"""),0)</f>
        <v>0</v>
      </c>
      <c r="H66" s="48">
        <f ca="1">IFERROR(__xludf.DUMMYFUNCTION("""COMPUTED_VALUE"""),0)</f>
        <v>0</v>
      </c>
      <c r="I66" s="48">
        <f ca="1">IFERROR(__xludf.DUMMYFUNCTION("""COMPUTED_VALUE"""),0)</f>
        <v>0</v>
      </c>
      <c r="J66" s="48">
        <f ca="1">IFERROR(__xludf.DUMMYFUNCTION("""COMPUTED_VALUE"""),0)</f>
        <v>0</v>
      </c>
      <c r="K66" s="48">
        <f ca="1">IFERROR(__xludf.DUMMYFUNCTION("""COMPUTED_VALUE"""),0)</f>
        <v>0</v>
      </c>
      <c r="L66" s="48">
        <f ca="1">IFERROR(__xludf.DUMMYFUNCTION("""COMPUTED_VALUE"""),0)</f>
        <v>0</v>
      </c>
      <c r="M66" s="48">
        <f ca="1">IFERROR(__xludf.DUMMYFUNCTION("""COMPUTED_VALUE"""),0)</f>
        <v>0</v>
      </c>
      <c r="N66" s="48">
        <f ca="1">IFERROR(__xludf.DUMMYFUNCTION("""COMPUTED_VALUE"""),0)</f>
        <v>0</v>
      </c>
      <c r="O66" s="48">
        <f ca="1">IFERROR(__xludf.DUMMYFUNCTION("""COMPUTED_VALUE"""),0)</f>
        <v>0</v>
      </c>
      <c r="P66" s="48">
        <f ca="1">IFERROR(__xludf.DUMMYFUNCTION("""COMPUTED_VALUE"""),0)</f>
        <v>0</v>
      </c>
      <c r="Q66" s="48">
        <f ca="1">IFERROR(__xludf.DUMMYFUNCTION("""COMPUTED_VALUE"""),0)</f>
        <v>0</v>
      </c>
      <c r="R66" s="48">
        <f ca="1">IFERROR(__xludf.DUMMYFUNCTION("""COMPUTED_VALUE"""),0)</f>
        <v>0</v>
      </c>
      <c r="S66" s="48">
        <f ca="1">IFERROR(__xludf.DUMMYFUNCTION("""COMPUTED_VALUE"""),0)</f>
        <v>0</v>
      </c>
    </row>
    <row r="67" spans="1:19">
      <c r="A67" s="46" t="str">
        <f ca="1">IFERROR(__xludf.DUMMYFUNCTION("""COMPUTED_VALUE"""),"CARRETERAS BACHEADAS (NO. BACHES)")</f>
        <v>CARRETERAS BACHEADAS (NO. BACHES)</v>
      </c>
      <c r="B67" s="46">
        <f ca="1">IFERROR(__xludf.DUMMYFUNCTION("""COMPUTED_VALUE"""),1)</f>
        <v>1</v>
      </c>
      <c r="C67" s="46"/>
      <c r="D67" s="46" t="str">
        <f ca="1">IFERROR(__xludf.DUMMYFUNCTION("""COMPUTED_VALUE"""),"ASCENDENTE")</f>
        <v>ASCENDENTE</v>
      </c>
      <c r="E67" s="46" t="str">
        <f ca="1">IFERROR(__xludf.DUMMYFUNCTION("""COMPUTED_VALUE"""),"BITACORA OPERATIVA")</f>
        <v>BITACORA OPERATIVA</v>
      </c>
      <c r="F67" s="47">
        <f ca="1">IFERROR(__xludf.DUMMYFUNCTION("""COMPUTED_VALUE"""),0)</f>
        <v>0</v>
      </c>
      <c r="G67" s="48">
        <f ca="1">IFERROR(__xludf.DUMMYFUNCTION("""COMPUTED_VALUE"""),0)</f>
        <v>0</v>
      </c>
      <c r="H67" s="48">
        <f ca="1">IFERROR(__xludf.DUMMYFUNCTION("""COMPUTED_VALUE"""),0)</f>
        <v>0</v>
      </c>
      <c r="I67" s="48">
        <f ca="1">IFERROR(__xludf.DUMMYFUNCTION("""COMPUTED_VALUE"""),0)</f>
        <v>0</v>
      </c>
      <c r="J67" s="48">
        <f ca="1">IFERROR(__xludf.DUMMYFUNCTION("""COMPUTED_VALUE"""),0)</f>
        <v>0</v>
      </c>
      <c r="K67" s="48">
        <f ca="1">IFERROR(__xludf.DUMMYFUNCTION("""COMPUTED_VALUE"""),0)</f>
        <v>0</v>
      </c>
      <c r="L67" s="48">
        <f ca="1">IFERROR(__xludf.DUMMYFUNCTION("""COMPUTED_VALUE"""),0)</f>
        <v>0</v>
      </c>
      <c r="M67" s="48">
        <f ca="1">IFERROR(__xludf.DUMMYFUNCTION("""COMPUTED_VALUE"""),0)</f>
        <v>0</v>
      </c>
      <c r="N67" s="48">
        <f ca="1">IFERROR(__xludf.DUMMYFUNCTION("""COMPUTED_VALUE"""),0)</f>
        <v>0</v>
      </c>
      <c r="O67" s="48">
        <f ca="1">IFERROR(__xludf.DUMMYFUNCTION("""COMPUTED_VALUE"""),0)</f>
        <v>0</v>
      </c>
      <c r="P67" s="48">
        <f ca="1">IFERROR(__xludf.DUMMYFUNCTION("""COMPUTED_VALUE"""),0)</f>
        <v>0</v>
      </c>
      <c r="Q67" s="48">
        <f ca="1">IFERROR(__xludf.DUMMYFUNCTION("""COMPUTED_VALUE"""),0)</f>
        <v>0</v>
      </c>
      <c r="R67" s="48">
        <f ca="1">IFERROR(__xludf.DUMMYFUNCTION("""COMPUTED_VALUE"""),0)</f>
        <v>0</v>
      </c>
      <c r="S67" s="48">
        <f ca="1">IFERROR(__xludf.DUMMYFUNCTION("""COMPUTED_VALUE"""),0)</f>
        <v>0</v>
      </c>
    </row>
    <row r="68" spans="1:19">
      <c r="A68" s="46" t="str">
        <f ca="1">IFERROR(__xludf.DUMMYFUNCTION("""COMPUTED_VALUE"""),"NÚMERO DE ASFALTO APLICADO (TONELADAS)")</f>
        <v>NÚMERO DE ASFALTO APLICADO (TONELADAS)</v>
      </c>
      <c r="B68" s="46">
        <f ca="1">IFERROR(__xludf.DUMMYFUNCTION("""COMPUTED_VALUE"""),1)</f>
        <v>1</v>
      </c>
      <c r="C68" s="46"/>
      <c r="D68" s="46" t="str">
        <f ca="1">IFERROR(__xludf.DUMMYFUNCTION("""COMPUTED_VALUE"""),"ASCENDENTE")</f>
        <v>ASCENDENTE</v>
      </c>
      <c r="E68" s="46" t="str">
        <f ca="1">IFERROR(__xludf.DUMMYFUNCTION("""COMPUTED_VALUE"""),"BITACORA OPERATIVA")</f>
        <v>BITACORA OPERATIVA</v>
      </c>
      <c r="F68" s="47">
        <f ca="1">IFERROR(__xludf.DUMMYFUNCTION("""COMPUTED_VALUE"""),0)</f>
        <v>0</v>
      </c>
      <c r="G68" s="48">
        <f ca="1">IFERROR(__xludf.DUMMYFUNCTION("""COMPUTED_VALUE"""),0)</f>
        <v>0</v>
      </c>
      <c r="H68" s="48">
        <f ca="1">IFERROR(__xludf.DUMMYFUNCTION("""COMPUTED_VALUE"""),0)</f>
        <v>0</v>
      </c>
      <c r="I68" s="48">
        <f ca="1">IFERROR(__xludf.DUMMYFUNCTION("""COMPUTED_VALUE"""),0)</f>
        <v>0</v>
      </c>
      <c r="J68" s="48">
        <f ca="1">IFERROR(__xludf.DUMMYFUNCTION("""COMPUTED_VALUE"""),0)</f>
        <v>0</v>
      </c>
      <c r="K68" s="48">
        <f ca="1">IFERROR(__xludf.DUMMYFUNCTION("""COMPUTED_VALUE"""),0)</f>
        <v>0</v>
      </c>
      <c r="L68" s="48">
        <f ca="1">IFERROR(__xludf.DUMMYFUNCTION("""COMPUTED_VALUE"""),0)</f>
        <v>0</v>
      </c>
      <c r="M68" s="48">
        <f ca="1">IFERROR(__xludf.DUMMYFUNCTION("""COMPUTED_VALUE"""),0)</f>
        <v>0</v>
      </c>
      <c r="N68" s="48">
        <f ca="1">IFERROR(__xludf.DUMMYFUNCTION("""COMPUTED_VALUE"""),0)</f>
        <v>0</v>
      </c>
      <c r="O68" s="48">
        <f ca="1">IFERROR(__xludf.DUMMYFUNCTION("""COMPUTED_VALUE"""),0)</f>
        <v>0</v>
      </c>
      <c r="P68" s="48">
        <f ca="1">IFERROR(__xludf.DUMMYFUNCTION("""COMPUTED_VALUE"""),0)</f>
        <v>0</v>
      </c>
      <c r="Q68" s="48">
        <f ca="1">IFERROR(__xludf.DUMMYFUNCTION("""COMPUTED_VALUE"""),0)</f>
        <v>0</v>
      </c>
      <c r="R68" s="48">
        <f ca="1">IFERROR(__xludf.DUMMYFUNCTION("""COMPUTED_VALUE"""),0)</f>
        <v>0</v>
      </c>
      <c r="S68" s="48">
        <f ca="1">IFERROR(__xludf.DUMMYFUNCTION("""COMPUTED_VALUE"""),0)</f>
        <v>0</v>
      </c>
    </row>
    <row r="69" spans="1:19">
      <c r="A69" s="46" t="str">
        <f ca="1">IFERROR(__xludf.DUMMYFUNCTION("""COMPUTED_VALUE"""),"INSTALACIÓN DE POSTES PARA LÁMPARAS")</f>
        <v>INSTALACIÓN DE POSTES PARA LÁMPARAS</v>
      </c>
      <c r="B69" s="46">
        <f ca="1">IFERROR(__xludf.DUMMYFUNCTION("""COMPUTED_VALUE"""),1)</f>
        <v>1</v>
      </c>
      <c r="C69" s="46"/>
      <c r="D69" s="46" t="str">
        <f ca="1">IFERROR(__xludf.DUMMYFUNCTION("""COMPUTED_VALUE"""),"ASCENDENTE")</f>
        <v>ASCENDENTE</v>
      </c>
      <c r="E69" s="46" t="str">
        <f ca="1">IFERROR(__xludf.DUMMYFUNCTION("""COMPUTED_VALUE"""),"BITACORA OPERATIVA")</f>
        <v>BITACORA OPERATIVA</v>
      </c>
      <c r="F69" s="47">
        <f ca="1">IFERROR(__xludf.DUMMYFUNCTION("""COMPUTED_VALUE"""),0)</f>
        <v>0</v>
      </c>
      <c r="G69" s="48">
        <f ca="1">IFERROR(__xludf.DUMMYFUNCTION("""COMPUTED_VALUE"""),133)</f>
        <v>133</v>
      </c>
      <c r="H69" s="48">
        <f ca="1">IFERROR(__xludf.DUMMYFUNCTION("""COMPUTED_VALUE"""),0)</f>
        <v>0</v>
      </c>
      <c r="I69" s="48">
        <f ca="1">IFERROR(__xludf.DUMMYFUNCTION("""COMPUTED_VALUE"""),0)</f>
        <v>0</v>
      </c>
      <c r="J69" s="48">
        <f ca="1">IFERROR(__xludf.DUMMYFUNCTION("""COMPUTED_VALUE"""),0)</f>
        <v>0</v>
      </c>
      <c r="K69" s="48">
        <f ca="1">IFERROR(__xludf.DUMMYFUNCTION("""COMPUTED_VALUE"""),0)</f>
        <v>0</v>
      </c>
      <c r="L69" s="48">
        <f ca="1">IFERROR(__xludf.DUMMYFUNCTION("""COMPUTED_VALUE"""),0)</f>
        <v>0</v>
      </c>
      <c r="M69" s="48">
        <f ca="1">IFERROR(__xludf.DUMMYFUNCTION("""COMPUTED_VALUE"""),0)</f>
        <v>0</v>
      </c>
      <c r="N69" s="48">
        <f ca="1">IFERROR(__xludf.DUMMYFUNCTION("""COMPUTED_VALUE"""),0)</f>
        <v>0</v>
      </c>
      <c r="O69" s="48">
        <f ca="1">IFERROR(__xludf.DUMMYFUNCTION("""COMPUTED_VALUE"""),0)</f>
        <v>0</v>
      </c>
      <c r="P69" s="48">
        <f ca="1">IFERROR(__xludf.DUMMYFUNCTION("""COMPUTED_VALUE"""),0)</f>
        <v>0</v>
      </c>
      <c r="Q69" s="48">
        <f ca="1">IFERROR(__xludf.DUMMYFUNCTION("""COMPUTED_VALUE"""),0)</f>
        <v>0</v>
      </c>
      <c r="R69" s="48">
        <f ca="1">IFERROR(__xludf.DUMMYFUNCTION("""COMPUTED_VALUE"""),0)</f>
        <v>0</v>
      </c>
      <c r="S69" s="48">
        <f ca="1">IFERROR(__xludf.DUMMYFUNCTION("""COMPUTED_VALUE"""),133)</f>
        <v>133</v>
      </c>
    </row>
    <row r="70" spans="1:19">
      <c r="A70" s="46" t="str">
        <f ca="1">IFERROR(__xludf.DUMMYFUNCTION("""COMPUTED_VALUE"""),"FUMIGACION EN CALLES")</f>
        <v>FUMIGACION EN CALLES</v>
      </c>
      <c r="B70" s="46">
        <f ca="1">IFERROR(__xludf.DUMMYFUNCTION("""COMPUTED_VALUE"""),1)</f>
        <v>1</v>
      </c>
      <c r="C70" s="46"/>
      <c r="D70" s="46" t="str">
        <f ca="1">IFERROR(__xludf.DUMMYFUNCTION("""COMPUTED_VALUE"""),"ASCENDENTE")</f>
        <v>ASCENDENTE</v>
      </c>
      <c r="E70" s="46" t="str">
        <f ca="1">IFERROR(__xludf.DUMMYFUNCTION("""COMPUTED_VALUE"""),"BITACORA OPERATIVA")</f>
        <v>BITACORA OPERATIVA</v>
      </c>
      <c r="F70" s="47">
        <f ca="1">IFERROR(__xludf.DUMMYFUNCTION("""COMPUTED_VALUE"""),0)</f>
        <v>0</v>
      </c>
      <c r="G70" s="48">
        <f ca="1">IFERROR(__xludf.DUMMYFUNCTION("""COMPUTED_VALUE"""),0)</f>
        <v>0</v>
      </c>
      <c r="H70" s="48">
        <f ca="1">IFERROR(__xludf.DUMMYFUNCTION("""COMPUTED_VALUE"""),0)</f>
        <v>0</v>
      </c>
      <c r="I70" s="48">
        <f ca="1">IFERROR(__xludf.DUMMYFUNCTION("""COMPUTED_VALUE"""),0)</f>
        <v>0</v>
      </c>
      <c r="J70" s="48">
        <f ca="1">IFERROR(__xludf.DUMMYFUNCTION("""COMPUTED_VALUE"""),0)</f>
        <v>0</v>
      </c>
      <c r="K70" s="48">
        <f ca="1">IFERROR(__xludf.DUMMYFUNCTION("""COMPUTED_VALUE"""),0)</f>
        <v>0</v>
      </c>
      <c r="L70" s="48">
        <f ca="1">IFERROR(__xludf.DUMMYFUNCTION("""COMPUTED_VALUE"""),0)</f>
        <v>0</v>
      </c>
      <c r="M70" s="48">
        <f ca="1">IFERROR(__xludf.DUMMYFUNCTION("""COMPUTED_VALUE"""),0)</f>
        <v>0</v>
      </c>
      <c r="N70" s="48">
        <f ca="1">IFERROR(__xludf.DUMMYFUNCTION("""COMPUTED_VALUE"""),0)</f>
        <v>0</v>
      </c>
      <c r="O70" s="48">
        <f ca="1">IFERROR(__xludf.DUMMYFUNCTION("""COMPUTED_VALUE"""),0)</f>
        <v>0</v>
      </c>
      <c r="P70" s="48">
        <f ca="1">IFERROR(__xludf.DUMMYFUNCTION("""COMPUTED_VALUE"""),0)</f>
        <v>0</v>
      </c>
      <c r="Q70" s="48">
        <f ca="1">IFERROR(__xludf.DUMMYFUNCTION("""COMPUTED_VALUE"""),0)</f>
        <v>0</v>
      </c>
      <c r="R70" s="48">
        <f ca="1">IFERROR(__xludf.DUMMYFUNCTION("""COMPUTED_VALUE"""),0)</f>
        <v>0</v>
      </c>
      <c r="S70" s="48">
        <f ca="1">IFERROR(__xludf.DUMMYFUNCTION("""COMPUTED_VALUE"""),0)</f>
        <v>0</v>
      </c>
    </row>
    <row r="71" spans="1:19">
      <c r="A71" s="46" t="str">
        <f ca="1">IFERROR(__xludf.DUMMYFUNCTION("""COMPUTED_VALUE""")," FUMIGACION EN EDIFICIOS Y PLAZAS PÚBLICOS")</f>
        <v xml:space="preserve"> FUMIGACION EN EDIFICIOS Y PLAZAS PÚBLICOS</v>
      </c>
      <c r="B71" s="46">
        <f ca="1">IFERROR(__xludf.DUMMYFUNCTION("""COMPUTED_VALUE"""),1)</f>
        <v>1</v>
      </c>
      <c r="C71" s="46"/>
      <c r="D71" s="46" t="str">
        <f ca="1">IFERROR(__xludf.DUMMYFUNCTION("""COMPUTED_VALUE"""),"ASCENDENTE")</f>
        <v>ASCENDENTE</v>
      </c>
      <c r="E71" s="46" t="str">
        <f ca="1">IFERROR(__xludf.DUMMYFUNCTION("""COMPUTED_VALUE"""),"BITACORA OPERATIVA")</f>
        <v>BITACORA OPERATIVA</v>
      </c>
      <c r="F71" s="47">
        <f ca="1">IFERROR(__xludf.DUMMYFUNCTION("""COMPUTED_VALUE"""),0)</f>
        <v>0</v>
      </c>
      <c r="G71" s="48">
        <f ca="1">IFERROR(__xludf.DUMMYFUNCTION("""COMPUTED_VALUE"""),0)</f>
        <v>0</v>
      </c>
      <c r="H71" s="48">
        <f ca="1">IFERROR(__xludf.DUMMYFUNCTION("""COMPUTED_VALUE"""),0)</f>
        <v>0</v>
      </c>
      <c r="I71" s="48">
        <f ca="1">IFERROR(__xludf.DUMMYFUNCTION("""COMPUTED_VALUE"""),0)</f>
        <v>0</v>
      </c>
      <c r="J71" s="48">
        <f ca="1">IFERROR(__xludf.DUMMYFUNCTION("""COMPUTED_VALUE"""),0)</f>
        <v>0</v>
      </c>
      <c r="K71" s="48">
        <f ca="1">IFERROR(__xludf.DUMMYFUNCTION("""COMPUTED_VALUE"""),0)</f>
        <v>0</v>
      </c>
      <c r="L71" s="48">
        <f ca="1">IFERROR(__xludf.DUMMYFUNCTION("""COMPUTED_VALUE"""),0)</f>
        <v>0</v>
      </c>
      <c r="M71" s="48">
        <f ca="1">IFERROR(__xludf.DUMMYFUNCTION("""COMPUTED_VALUE"""),0)</f>
        <v>0</v>
      </c>
      <c r="N71" s="48">
        <f ca="1">IFERROR(__xludf.DUMMYFUNCTION("""COMPUTED_VALUE"""),0)</f>
        <v>0</v>
      </c>
      <c r="O71" s="48">
        <f ca="1">IFERROR(__xludf.DUMMYFUNCTION("""COMPUTED_VALUE"""),0)</f>
        <v>0</v>
      </c>
      <c r="P71" s="48">
        <f ca="1">IFERROR(__xludf.DUMMYFUNCTION("""COMPUTED_VALUE"""),0)</f>
        <v>0</v>
      </c>
      <c r="Q71" s="48">
        <f ca="1">IFERROR(__xludf.DUMMYFUNCTION("""COMPUTED_VALUE"""),0)</f>
        <v>0</v>
      </c>
      <c r="R71" s="48">
        <f ca="1">IFERROR(__xludf.DUMMYFUNCTION("""COMPUTED_VALUE"""),0)</f>
        <v>0</v>
      </c>
      <c r="S71" s="48">
        <f ca="1">IFERROR(__xludf.DUMMYFUNCTION("""COMPUTED_VALUE"""),0)</f>
        <v>0</v>
      </c>
    </row>
    <row r="72" spans="1:19">
      <c r="A72" s="46" t="str">
        <f ca="1">IFERROR(__xludf.DUMMYFUNCTION("""COMPUTED_VALUE"""),"IMPERMEABILIZACIONES EN EDIFICIOS PÚBLICOS")</f>
        <v>IMPERMEABILIZACIONES EN EDIFICIOS PÚBLICOS</v>
      </c>
      <c r="B72" s="46">
        <f ca="1">IFERROR(__xludf.DUMMYFUNCTION("""COMPUTED_VALUE"""),1)</f>
        <v>1</v>
      </c>
      <c r="C72" s="46"/>
      <c r="D72" s="46" t="str">
        <f ca="1">IFERROR(__xludf.DUMMYFUNCTION("""COMPUTED_VALUE"""),"ASCENDENTE")</f>
        <v>ASCENDENTE</v>
      </c>
      <c r="E72" s="46" t="str">
        <f ca="1">IFERROR(__xludf.DUMMYFUNCTION("""COMPUTED_VALUE"""),"BITACORA OPERATIVA")</f>
        <v>BITACORA OPERATIVA</v>
      </c>
      <c r="F72" s="47">
        <f ca="1">IFERROR(__xludf.DUMMYFUNCTION("""COMPUTED_VALUE"""),0)</f>
        <v>0</v>
      </c>
      <c r="G72" s="48">
        <f ca="1">IFERROR(__xludf.DUMMYFUNCTION("""COMPUTED_VALUE"""),0)</f>
        <v>0</v>
      </c>
      <c r="H72" s="48">
        <f ca="1">IFERROR(__xludf.DUMMYFUNCTION("""COMPUTED_VALUE"""),0)</f>
        <v>0</v>
      </c>
      <c r="I72" s="48">
        <f ca="1">IFERROR(__xludf.DUMMYFUNCTION("""COMPUTED_VALUE"""),0)</f>
        <v>0</v>
      </c>
      <c r="J72" s="48">
        <f ca="1">IFERROR(__xludf.DUMMYFUNCTION("""COMPUTED_VALUE"""),0)</f>
        <v>0</v>
      </c>
      <c r="K72" s="48">
        <f ca="1">IFERROR(__xludf.DUMMYFUNCTION("""COMPUTED_VALUE"""),0)</f>
        <v>0</v>
      </c>
      <c r="L72" s="48">
        <f ca="1">IFERROR(__xludf.DUMMYFUNCTION("""COMPUTED_VALUE"""),0)</f>
        <v>0</v>
      </c>
      <c r="M72" s="48">
        <f ca="1">IFERROR(__xludf.DUMMYFUNCTION("""COMPUTED_VALUE"""),0)</f>
        <v>0</v>
      </c>
      <c r="N72" s="48">
        <f ca="1">IFERROR(__xludf.DUMMYFUNCTION("""COMPUTED_VALUE"""),0)</f>
        <v>0</v>
      </c>
      <c r="O72" s="48">
        <f ca="1">IFERROR(__xludf.DUMMYFUNCTION("""COMPUTED_VALUE"""),0)</f>
        <v>0</v>
      </c>
      <c r="P72" s="48">
        <f ca="1">IFERROR(__xludf.DUMMYFUNCTION("""COMPUTED_VALUE"""),0)</f>
        <v>0</v>
      </c>
      <c r="Q72" s="48">
        <f ca="1">IFERROR(__xludf.DUMMYFUNCTION("""COMPUTED_VALUE"""),0)</f>
        <v>0</v>
      </c>
      <c r="R72" s="48">
        <f ca="1">IFERROR(__xludf.DUMMYFUNCTION("""COMPUTED_VALUE"""),0)</f>
        <v>0</v>
      </c>
      <c r="S72" s="48">
        <f ca="1">IFERROR(__xludf.DUMMYFUNCTION("""COMPUTED_VALUE"""),0)</f>
        <v>0</v>
      </c>
    </row>
    <row r="73" spans="1:19">
      <c r="A73" s="46" t="str">
        <f ca="1">IFERROR(__xludf.DUMMYFUNCTION("""COMPUTED_VALUE"""),"IMPERMEABILIZACIONES EN ESCUELAS")</f>
        <v>IMPERMEABILIZACIONES EN ESCUELAS</v>
      </c>
      <c r="B73" s="46">
        <f ca="1">IFERROR(__xludf.DUMMYFUNCTION("""COMPUTED_VALUE"""),1)</f>
        <v>1</v>
      </c>
      <c r="C73" s="46"/>
      <c r="D73" s="46" t="str">
        <f ca="1">IFERROR(__xludf.DUMMYFUNCTION("""COMPUTED_VALUE"""),"ASCENDENTE")</f>
        <v>ASCENDENTE</v>
      </c>
      <c r="E73" s="46" t="str">
        <f ca="1">IFERROR(__xludf.DUMMYFUNCTION("""COMPUTED_VALUE"""),"BITACORA OPERATIVA")</f>
        <v>BITACORA OPERATIVA</v>
      </c>
      <c r="F73" s="47">
        <f ca="1">IFERROR(__xludf.DUMMYFUNCTION("""COMPUTED_VALUE"""),0)</f>
        <v>0</v>
      </c>
      <c r="G73" s="48">
        <f ca="1">IFERROR(__xludf.DUMMYFUNCTION("""COMPUTED_VALUE"""),0)</f>
        <v>0</v>
      </c>
      <c r="H73" s="48">
        <f ca="1">IFERROR(__xludf.DUMMYFUNCTION("""COMPUTED_VALUE"""),0)</f>
        <v>0</v>
      </c>
      <c r="I73" s="48">
        <f ca="1">IFERROR(__xludf.DUMMYFUNCTION("""COMPUTED_VALUE"""),0)</f>
        <v>0</v>
      </c>
      <c r="J73" s="48">
        <f ca="1">IFERROR(__xludf.DUMMYFUNCTION("""COMPUTED_VALUE"""),0)</f>
        <v>0</v>
      </c>
      <c r="K73" s="48">
        <f ca="1">IFERROR(__xludf.DUMMYFUNCTION("""COMPUTED_VALUE"""),0)</f>
        <v>0</v>
      </c>
      <c r="L73" s="48">
        <f ca="1">IFERROR(__xludf.DUMMYFUNCTION("""COMPUTED_VALUE"""),0)</f>
        <v>0</v>
      </c>
      <c r="M73" s="48">
        <f ca="1">IFERROR(__xludf.DUMMYFUNCTION("""COMPUTED_VALUE"""),0)</f>
        <v>0</v>
      </c>
      <c r="N73" s="48">
        <f ca="1">IFERROR(__xludf.DUMMYFUNCTION("""COMPUTED_VALUE"""),0)</f>
        <v>0</v>
      </c>
      <c r="O73" s="48">
        <f ca="1">IFERROR(__xludf.DUMMYFUNCTION("""COMPUTED_VALUE"""),0)</f>
        <v>0</v>
      </c>
      <c r="P73" s="48">
        <f ca="1">IFERROR(__xludf.DUMMYFUNCTION("""COMPUTED_VALUE"""),0)</f>
        <v>0</v>
      </c>
      <c r="Q73" s="48">
        <f ca="1">IFERROR(__xludf.DUMMYFUNCTION("""COMPUTED_VALUE"""),0)</f>
        <v>0</v>
      </c>
      <c r="R73" s="48">
        <f ca="1">IFERROR(__xludf.DUMMYFUNCTION("""COMPUTED_VALUE"""),0)</f>
        <v>0</v>
      </c>
      <c r="S73" s="48">
        <f ca="1">IFERROR(__xludf.DUMMYFUNCTION("""COMPUTED_VALUE"""),0)</f>
        <v>0</v>
      </c>
    </row>
    <row r="74" spans="1:19">
      <c r="A74" s="46" t="str">
        <f ca="1">IFERROR(__xludf.DUMMYFUNCTION("""COMPUTED_VALUE"""),"ACCIONES DE INTERVENCION CON PINTUR A UNIDADES DEPORTIVAS")</f>
        <v>ACCIONES DE INTERVENCION CON PINTUR A UNIDADES DEPORTIVAS</v>
      </c>
      <c r="B74" s="46">
        <f ca="1">IFERROR(__xludf.DUMMYFUNCTION("""COMPUTED_VALUE"""),1)</f>
        <v>1</v>
      </c>
      <c r="C74" s="46"/>
      <c r="D74" s="46" t="str">
        <f ca="1">IFERROR(__xludf.DUMMYFUNCTION("""COMPUTED_VALUE"""),"ASCENDENTE")</f>
        <v>ASCENDENTE</v>
      </c>
      <c r="E74" s="46" t="str">
        <f ca="1">IFERROR(__xludf.DUMMYFUNCTION("""COMPUTED_VALUE"""),"BITACORA OPERATIVA")</f>
        <v>BITACORA OPERATIVA</v>
      </c>
      <c r="F74" s="47">
        <f ca="1">IFERROR(__xludf.DUMMYFUNCTION("""COMPUTED_VALUE"""),0)</f>
        <v>0</v>
      </c>
      <c r="G74" s="48">
        <f ca="1">IFERROR(__xludf.DUMMYFUNCTION("""COMPUTED_VALUE"""),0)</f>
        <v>0</v>
      </c>
      <c r="H74" s="48">
        <f ca="1">IFERROR(__xludf.DUMMYFUNCTION("""COMPUTED_VALUE"""),0)</f>
        <v>0</v>
      </c>
      <c r="I74" s="48">
        <f ca="1">IFERROR(__xludf.DUMMYFUNCTION("""COMPUTED_VALUE"""),0)</f>
        <v>0</v>
      </c>
      <c r="J74" s="48">
        <f ca="1">IFERROR(__xludf.DUMMYFUNCTION("""COMPUTED_VALUE"""),0)</f>
        <v>0</v>
      </c>
      <c r="K74" s="48">
        <f ca="1">IFERROR(__xludf.DUMMYFUNCTION("""COMPUTED_VALUE"""),0)</f>
        <v>0</v>
      </c>
      <c r="L74" s="48">
        <f ca="1">IFERROR(__xludf.DUMMYFUNCTION("""COMPUTED_VALUE"""),0)</f>
        <v>0</v>
      </c>
      <c r="M74" s="48">
        <f ca="1">IFERROR(__xludf.DUMMYFUNCTION("""COMPUTED_VALUE"""),0)</f>
        <v>0</v>
      </c>
      <c r="N74" s="48">
        <f ca="1">IFERROR(__xludf.DUMMYFUNCTION("""COMPUTED_VALUE"""),0)</f>
        <v>0</v>
      </c>
      <c r="O74" s="48">
        <f ca="1">IFERROR(__xludf.DUMMYFUNCTION("""COMPUTED_VALUE"""),0)</f>
        <v>0</v>
      </c>
      <c r="P74" s="48">
        <f ca="1">IFERROR(__xludf.DUMMYFUNCTION("""COMPUTED_VALUE"""),0)</f>
        <v>0</v>
      </c>
      <c r="Q74" s="48">
        <f ca="1">IFERROR(__xludf.DUMMYFUNCTION("""COMPUTED_VALUE"""),0)</f>
        <v>0</v>
      </c>
      <c r="R74" s="48">
        <f ca="1">IFERROR(__xludf.DUMMYFUNCTION("""COMPUTED_VALUE"""),0)</f>
        <v>0</v>
      </c>
      <c r="S74" s="48">
        <f ca="1">IFERROR(__xludf.DUMMYFUNCTION("""COMPUTED_VALUE"""),0)</f>
        <v>0</v>
      </c>
    </row>
    <row r="75" spans="1:19">
      <c r="A75" s="46" t="str">
        <f ca="1">IFERROR(__xludf.DUMMYFUNCTION("""COMPUTED_VALUE"""),"ACCIONES DE INTERVENCION CON PINTURA A OFICINAS Y FACHADAS DE EDIFICIOS PÚBLICOS")</f>
        <v>ACCIONES DE INTERVENCION CON PINTURA A OFICINAS Y FACHADAS DE EDIFICIOS PÚBLICOS</v>
      </c>
      <c r="B75" s="46">
        <f ca="1">IFERROR(__xludf.DUMMYFUNCTION("""COMPUTED_VALUE"""),1)</f>
        <v>1</v>
      </c>
      <c r="C75" s="46"/>
      <c r="D75" s="46" t="str">
        <f ca="1">IFERROR(__xludf.DUMMYFUNCTION("""COMPUTED_VALUE"""),"ASCENDENTE")</f>
        <v>ASCENDENTE</v>
      </c>
      <c r="E75" s="46" t="str">
        <f ca="1">IFERROR(__xludf.DUMMYFUNCTION("""COMPUTED_VALUE"""),"BITACORA OPERATIVA")</f>
        <v>BITACORA OPERATIVA</v>
      </c>
      <c r="F75" s="47">
        <f ca="1">IFERROR(__xludf.DUMMYFUNCTION("""COMPUTED_VALUE"""),0)</f>
        <v>0</v>
      </c>
      <c r="G75" s="48">
        <f ca="1">IFERROR(__xludf.DUMMYFUNCTION("""COMPUTED_VALUE"""),0)</f>
        <v>0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IFERROR(__xludf.DUMMYFUNCTION("""COMPUTED_VALUE"""),0)</f>
        <v>0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IFERROR(__xludf.DUMMYFUNCTION("""COMPUTED_VALUE"""),0)</f>
        <v>0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</row>
    <row r="76" spans="1:19">
      <c r="A76" s="46" t="str">
        <f ca="1">IFERROR(__xludf.DUMMYFUNCTION("""COMPUTED_VALUE"""),"ACCIONES DE INTERVENCION CON PINTURA PLAZAS PÚBLICAS")</f>
        <v>ACCIONES DE INTERVENCION CON PINTURA PLAZAS PÚBLICAS</v>
      </c>
      <c r="B76" s="46">
        <f ca="1">IFERROR(__xludf.DUMMYFUNCTION("""COMPUTED_VALUE"""),1)</f>
        <v>1</v>
      </c>
      <c r="C76" s="46"/>
      <c r="D76" s="46" t="str">
        <f ca="1">IFERROR(__xludf.DUMMYFUNCTION("""COMPUTED_VALUE"""),"ASCENDENTE")</f>
        <v>ASCENDENTE</v>
      </c>
      <c r="E76" s="46" t="str">
        <f ca="1">IFERROR(__xludf.DUMMYFUNCTION("""COMPUTED_VALUE"""),"BITACORA OPERATIVA")</f>
        <v>BITACORA OPERATIVA</v>
      </c>
      <c r="F76" s="47">
        <f ca="1">IFERROR(__xludf.DUMMYFUNCTION("""COMPUTED_VALUE"""),0)</f>
        <v>0</v>
      </c>
      <c r="G76" s="48">
        <f ca="1">IFERROR(__xludf.DUMMYFUNCTION("""COMPUTED_VALUE"""),32)</f>
        <v>32</v>
      </c>
      <c r="H76" s="48">
        <f ca="1">IFERROR(__xludf.DUMMYFUNCTION("""COMPUTED_VALUE"""),0)</f>
        <v>0</v>
      </c>
      <c r="I76" s="48">
        <f ca="1">IFERROR(__xludf.DUMMYFUNCTION("""COMPUTED_VALUE"""),0)</f>
        <v>0</v>
      </c>
      <c r="J76" s="48">
        <f ca="1">IFERROR(__xludf.DUMMYFUNCTION("""COMPUTED_VALUE"""),0)</f>
        <v>0</v>
      </c>
      <c r="K76" s="48">
        <f ca="1">IFERROR(__xludf.DUMMYFUNCTION("""COMPUTED_VALUE"""),0)</f>
        <v>0</v>
      </c>
      <c r="L76" s="48">
        <f ca="1">IFERROR(__xludf.DUMMYFUNCTION("""COMPUTED_VALUE"""),0)</f>
        <v>0</v>
      </c>
      <c r="M76" s="48">
        <f ca="1">IFERROR(__xludf.DUMMYFUNCTION("""COMPUTED_VALUE"""),0)</f>
        <v>0</v>
      </c>
      <c r="N76" s="48">
        <f ca="1">IFERROR(__xludf.DUMMYFUNCTION("""COMPUTED_VALUE"""),0)</f>
        <v>0</v>
      </c>
      <c r="O76" s="48">
        <f ca="1">IFERROR(__xludf.DUMMYFUNCTION("""COMPUTED_VALUE"""),0)</f>
        <v>0</v>
      </c>
      <c r="P76" s="48">
        <f ca="1">IFERROR(__xludf.DUMMYFUNCTION("""COMPUTED_VALUE"""),0)</f>
        <v>0</v>
      </c>
      <c r="Q76" s="48">
        <f ca="1">IFERROR(__xludf.DUMMYFUNCTION("""COMPUTED_VALUE"""),0)</f>
        <v>0</v>
      </c>
      <c r="R76" s="48">
        <f ca="1">IFERROR(__xludf.DUMMYFUNCTION("""COMPUTED_VALUE"""),0)</f>
        <v>0</v>
      </c>
      <c r="S76" s="48">
        <f ca="1">IFERROR(__xludf.DUMMYFUNCTION("""COMPUTED_VALUE"""),32)</f>
        <v>32</v>
      </c>
    </row>
    <row r="77" spans="1:19">
      <c r="A77" s="46" t="str">
        <f ca="1">IFERROR(__xludf.DUMMYFUNCTION("""COMPUTED_VALUE"""),"ACCIONES DE INTERVENCION CON PINTURA A  PARQUES")</f>
        <v>ACCIONES DE INTERVENCION CON PINTURA A  PARQUES</v>
      </c>
      <c r="B77" s="46">
        <f ca="1">IFERROR(__xludf.DUMMYFUNCTION("""COMPUTED_VALUE"""),1)</f>
        <v>1</v>
      </c>
      <c r="C77" s="46"/>
      <c r="D77" s="46" t="str">
        <f ca="1">IFERROR(__xludf.DUMMYFUNCTION("""COMPUTED_VALUE"""),"ASCENDENTE")</f>
        <v>ASCENDENTE</v>
      </c>
      <c r="E77" s="46" t="str">
        <f ca="1">IFERROR(__xludf.DUMMYFUNCTION("""COMPUTED_VALUE"""),"BITACORA OPERATIVA")</f>
        <v>BITACORA OPERATIVA</v>
      </c>
      <c r="F77" s="47">
        <f ca="1">IFERROR(__xludf.DUMMYFUNCTION("""COMPUTED_VALUE"""),0)</f>
        <v>0</v>
      </c>
      <c r="G77" s="48">
        <f ca="1">IFERROR(__xludf.DUMMYFUNCTION("""COMPUTED_VALUE"""),15)</f>
        <v>15</v>
      </c>
      <c r="H77" s="48">
        <f ca="1">IFERROR(__xludf.DUMMYFUNCTION("""COMPUTED_VALUE"""),0)</f>
        <v>0</v>
      </c>
      <c r="I77" s="48">
        <f ca="1">IFERROR(__xludf.DUMMYFUNCTION("""COMPUTED_VALUE"""),0)</f>
        <v>0</v>
      </c>
      <c r="J77" s="48">
        <f ca="1">IFERROR(__xludf.DUMMYFUNCTION("""COMPUTED_VALUE"""),0)</f>
        <v>0</v>
      </c>
      <c r="K77" s="48">
        <f ca="1">IFERROR(__xludf.DUMMYFUNCTION("""COMPUTED_VALUE"""),0)</f>
        <v>0</v>
      </c>
      <c r="L77" s="48">
        <f ca="1">IFERROR(__xludf.DUMMYFUNCTION("""COMPUTED_VALUE"""),0)</f>
        <v>0</v>
      </c>
      <c r="M77" s="48">
        <f ca="1">IFERROR(__xludf.DUMMYFUNCTION("""COMPUTED_VALUE"""),0)</f>
        <v>0</v>
      </c>
      <c r="N77" s="48">
        <f ca="1">IFERROR(__xludf.DUMMYFUNCTION("""COMPUTED_VALUE"""),0)</f>
        <v>0</v>
      </c>
      <c r="O77" s="48">
        <f ca="1">IFERROR(__xludf.DUMMYFUNCTION("""COMPUTED_VALUE"""),0)</f>
        <v>0</v>
      </c>
      <c r="P77" s="48">
        <f ca="1">IFERROR(__xludf.DUMMYFUNCTION("""COMPUTED_VALUE"""),0)</f>
        <v>0</v>
      </c>
      <c r="Q77" s="48">
        <f ca="1">IFERROR(__xludf.DUMMYFUNCTION("""COMPUTED_VALUE"""),0)</f>
        <v>0</v>
      </c>
      <c r="R77" s="48">
        <f ca="1">IFERROR(__xludf.DUMMYFUNCTION("""COMPUTED_VALUE"""),0)</f>
        <v>0</v>
      </c>
      <c r="S77" s="48">
        <f ca="1">IFERROR(__xludf.DUMMYFUNCTION("""COMPUTED_VALUE"""),15)</f>
        <v>15</v>
      </c>
    </row>
    <row r="78" spans="1:19">
      <c r="A78" s="46" t="str">
        <f ca="1">IFERROR(__xludf.DUMMYFUNCTION("""COMPUTED_VALUE"""),"ACCIONES DE INTERVENCION CON PINTUR A A ESCUELAS")</f>
        <v>ACCIONES DE INTERVENCION CON PINTUR A A ESCUELAS</v>
      </c>
      <c r="B78" s="46">
        <f ca="1">IFERROR(__xludf.DUMMYFUNCTION("""COMPUTED_VALUE"""),1)</f>
        <v>1</v>
      </c>
      <c r="C78" s="46"/>
      <c r="D78" s="46" t="str">
        <f ca="1">IFERROR(__xludf.DUMMYFUNCTION("""COMPUTED_VALUE"""),"ASCENDENTE")</f>
        <v>ASCENDENTE</v>
      </c>
      <c r="E78" s="46" t="str">
        <f ca="1">IFERROR(__xludf.DUMMYFUNCTION("""COMPUTED_VALUE"""),"BITACORA OPERATIVA")</f>
        <v>BITACORA OPERATIVA</v>
      </c>
      <c r="F78" s="47">
        <f ca="1">IFERROR(__xludf.DUMMYFUNCTION("""COMPUTED_VALUE"""),0)</f>
        <v>0</v>
      </c>
      <c r="G78" s="48">
        <f ca="1">IFERROR(__xludf.DUMMYFUNCTION("""COMPUTED_VALUE"""),0)</f>
        <v>0</v>
      </c>
      <c r="H78" s="48">
        <f ca="1">IFERROR(__xludf.DUMMYFUNCTION("""COMPUTED_VALUE"""),0)</f>
        <v>0</v>
      </c>
      <c r="I78" s="48">
        <f ca="1">IFERROR(__xludf.DUMMYFUNCTION("""COMPUTED_VALUE"""),0)</f>
        <v>0</v>
      </c>
      <c r="J78" s="48">
        <f ca="1">IFERROR(__xludf.DUMMYFUNCTION("""COMPUTED_VALUE"""),0)</f>
        <v>0</v>
      </c>
      <c r="K78" s="48">
        <f ca="1">IFERROR(__xludf.DUMMYFUNCTION("""COMPUTED_VALUE"""),0)</f>
        <v>0</v>
      </c>
      <c r="L78" s="48">
        <f ca="1">IFERROR(__xludf.DUMMYFUNCTION("""COMPUTED_VALUE"""),0)</f>
        <v>0</v>
      </c>
      <c r="M78" s="48">
        <f ca="1">IFERROR(__xludf.DUMMYFUNCTION("""COMPUTED_VALUE"""),0)</f>
        <v>0</v>
      </c>
      <c r="N78" s="48">
        <f ca="1">IFERROR(__xludf.DUMMYFUNCTION("""COMPUTED_VALUE"""),0)</f>
        <v>0</v>
      </c>
      <c r="O78" s="48">
        <f ca="1">IFERROR(__xludf.DUMMYFUNCTION("""COMPUTED_VALUE"""),0)</f>
        <v>0</v>
      </c>
      <c r="P78" s="48">
        <f ca="1">IFERROR(__xludf.DUMMYFUNCTION("""COMPUTED_VALUE"""),0)</f>
        <v>0</v>
      </c>
      <c r="Q78" s="48">
        <f ca="1">IFERROR(__xludf.DUMMYFUNCTION("""COMPUTED_VALUE"""),0)</f>
        <v>0</v>
      </c>
      <c r="R78" s="48">
        <f ca="1">IFERROR(__xludf.DUMMYFUNCTION("""COMPUTED_VALUE"""),0)</f>
        <v>0</v>
      </c>
      <c r="S78" s="48">
        <f ca="1">IFERROR(__xludf.DUMMYFUNCTION("""COMPUTED_VALUE"""),0)</f>
        <v>0</v>
      </c>
    </row>
    <row r="79" spans="1:19">
      <c r="A79" s="46" t="str">
        <f ca="1">IFERROR(__xludf.DUMMYFUNCTION("""COMPUTED_VALUE"""),"PINTURA (M2) APLICADA")</f>
        <v>PINTURA (M2) APLICADA</v>
      </c>
      <c r="B79" s="46">
        <f ca="1">IFERROR(__xludf.DUMMYFUNCTION("""COMPUTED_VALUE"""),1)</f>
        <v>1</v>
      </c>
      <c r="C79" s="46"/>
      <c r="D79" s="46" t="str">
        <f ca="1">IFERROR(__xludf.DUMMYFUNCTION("""COMPUTED_VALUE"""),"ASCENDENTE")</f>
        <v>ASCENDENTE</v>
      </c>
      <c r="E79" s="46" t="str">
        <f ca="1">IFERROR(__xludf.DUMMYFUNCTION("""COMPUTED_VALUE"""),"BITACORA OPERATIVA")</f>
        <v>BITACORA OPERATIVA</v>
      </c>
      <c r="F79" s="47">
        <f ca="1">IFERROR(__xludf.DUMMYFUNCTION("""COMPUTED_VALUE"""),0)</f>
        <v>0</v>
      </c>
      <c r="G79" s="48">
        <f ca="1">IFERROR(__xludf.DUMMYFUNCTION("""COMPUTED_VALUE"""),3)</f>
        <v>3</v>
      </c>
      <c r="H79" s="48">
        <f ca="1">IFERROR(__xludf.DUMMYFUNCTION("""COMPUTED_VALUE"""),0)</f>
        <v>0</v>
      </c>
      <c r="I79" s="48">
        <f ca="1">IFERROR(__xludf.DUMMYFUNCTION("""COMPUTED_VALUE"""),0)</f>
        <v>0</v>
      </c>
      <c r="J79" s="48">
        <f ca="1">IFERROR(__xludf.DUMMYFUNCTION("""COMPUTED_VALUE"""),0)</f>
        <v>0</v>
      </c>
      <c r="K79" s="48">
        <f ca="1">IFERROR(__xludf.DUMMYFUNCTION("""COMPUTED_VALUE"""),0)</f>
        <v>0</v>
      </c>
      <c r="L79" s="48">
        <f ca="1">IFERROR(__xludf.DUMMYFUNCTION("""COMPUTED_VALUE"""),0)</f>
        <v>0</v>
      </c>
      <c r="M79" s="48">
        <f ca="1">IFERROR(__xludf.DUMMYFUNCTION("""COMPUTED_VALUE"""),0)</f>
        <v>0</v>
      </c>
      <c r="N79" s="48">
        <f ca="1">IFERROR(__xludf.DUMMYFUNCTION("""COMPUTED_VALUE"""),0)</f>
        <v>0</v>
      </c>
      <c r="O79" s="48">
        <f ca="1">IFERROR(__xludf.DUMMYFUNCTION("""COMPUTED_VALUE"""),0)</f>
        <v>0</v>
      </c>
      <c r="P79" s="48">
        <f ca="1">IFERROR(__xludf.DUMMYFUNCTION("""COMPUTED_VALUE"""),0)</f>
        <v>0</v>
      </c>
      <c r="Q79" s="48">
        <f ca="1">IFERROR(__xludf.DUMMYFUNCTION("""COMPUTED_VALUE"""),0)</f>
        <v>0</v>
      </c>
      <c r="R79" s="48">
        <f ca="1">IFERROR(__xludf.DUMMYFUNCTION("""COMPUTED_VALUE"""),0)</f>
        <v>0</v>
      </c>
      <c r="S79" s="48">
        <f ca="1">IFERROR(__xludf.DUMMYFUNCTION("""COMPUTED_VALUE"""),3)</f>
        <v>3</v>
      </c>
    </row>
    <row r="80" spans="1:19">
      <c r="A80" s="46" t="str">
        <f ca="1">IFERROR(__xludf.DUMMYFUNCTION("""COMPUTED_VALUE"""),"ACCIONES DE MANTENIMIENTO A UNIDADES DEPORTIVAS Y CAMPOS DE FÚTBOL EN LA CABECERA MUNICIPAL")</f>
        <v>ACCIONES DE MANTENIMIENTO A UNIDADES DEPORTIVAS Y CAMPOS DE FÚTBOL EN LA CABECERA MUNICIPAL</v>
      </c>
      <c r="B80" s="46">
        <f ca="1">IFERROR(__xludf.DUMMYFUNCTION("""COMPUTED_VALUE"""),1)</f>
        <v>1</v>
      </c>
      <c r="C80" s="46"/>
      <c r="D80" s="46" t="str">
        <f ca="1">IFERROR(__xludf.DUMMYFUNCTION("""COMPUTED_VALUE"""),"ASCENDENTE")</f>
        <v>ASCENDENTE</v>
      </c>
      <c r="E80" s="46" t="str">
        <f ca="1">IFERROR(__xludf.DUMMYFUNCTION("""COMPUTED_VALUE"""),"BITACORA OPERATIVA")</f>
        <v>BITACORA OPERATIVA</v>
      </c>
      <c r="F80" s="47">
        <f ca="1">IFERROR(__xludf.DUMMYFUNCTION("""COMPUTED_VALUE"""),0)</f>
        <v>0</v>
      </c>
      <c r="G80" s="48">
        <f ca="1">IFERROR(__xludf.DUMMYFUNCTION("""COMPUTED_VALUE"""),0)</f>
        <v>0</v>
      </c>
      <c r="H80" s="48">
        <f ca="1">IFERROR(__xludf.DUMMYFUNCTION("""COMPUTED_VALUE"""),0)</f>
        <v>0</v>
      </c>
      <c r="I80" s="48">
        <f ca="1">IFERROR(__xludf.DUMMYFUNCTION("""COMPUTED_VALUE"""),0)</f>
        <v>0</v>
      </c>
      <c r="J80" s="48">
        <f ca="1">IFERROR(__xludf.DUMMYFUNCTION("""COMPUTED_VALUE"""),0)</f>
        <v>0</v>
      </c>
      <c r="K80" s="48">
        <f ca="1">IFERROR(__xludf.DUMMYFUNCTION("""COMPUTED_VALUE"""),0)</f>
        <v>0</v>
      </c>
      <c r="L80" s="48">
        <f ca="1">IFERROR(__xludf.DUMMYFUNCTION("""COMPUTED_VALUE"""),0)</f>
        <v>0</v>
      </c>
      <c r="M80" s="48">
        <f ca="1">IFERROR(__xludf.DUMMYFUNCTION("""COMPUTED_VALUE"""),0)</f>
        <v>0</v>
      </c>
      <c r="N80" s="48">
        <f ca="1">IFERROR(__xludf.DUMMYFUNCTION("""COMPUTED_VALUE"""),0)</f>
        <v>0</v>
      </c>
      <c r="O80" s="48">
        <f ca="1">IFERROR(__xludf.DUMMYFUNCTION("""COMPUTED_VALUE"""),0)</f>
        <v>0</v>
      </c>
      <c r="P80" s="48">
        <f ca="1">IFERROR(__xludf.DUMMYFUNCTION("""COMPUTED_VALUE"""),0)</f>
        <v>0</v>
      </c>
      <c r="Q80" s="48">
        <f ca="1">IFERROR(__xludf.DUMMYFUNCTION("""COMPUTED_VALUE"""),0)</f>
        <v>0</v>
      </c>
      <c r="R80" s="48">
        <f ca="1">IFERROR(__xludf.DUMMYFUNCTION("""COMPUTED_VALUE"""),0)</f>
        <v>0</v>
      </c>
      <c r="S80" s="48">
        <f ca="1">IFERROR(__xludf.DUMMYFUNCTION("""COMPUTED_VALUE"""),0)</f>
        <v>0</v>
      </c>
    </row>
    <row r="81" spans="1:19">
      <c r="A81" s="46" t="str">
        <f ca="1">IFERROR(__xludf.DUMMYFUNCTION("""COMPUTED_VALUE"""),"ACCIONES DE MANTENIMIENTO A PLAZAS PÚBLICAS")</f>
        <v>ACCIONES DE MANTENIMIENTO A PLAZAS PÚBLICAS</v>
      </c>
      <c r="B81" s="46">
        <f ca="1">IFERROR(__xludf.DUMMYFUNCTION("""COMPUTED_VALUE"""),1)</f>
        <v>1</v>
      </c>
      <c r="C81" s="46"/>
      <c r="D81" s="46" t="str">
        <f ca="1">IFERROR(__xludf.DUMMYFUNCTION("""COMPUTED_VALUE"""),"ASCENDENTE")</f>
        <v>ASCENDENTE</v>
      </c>
      <c r="E81" s="46" t="str">
        <f ca="1">IFERROR(__xludf.DUMMYFUNCTION("""COMPUTED_VALUE"""),"BITACORA OPERATIVA")</f>
        <v>BITACORA OPERATIVA</v>
      </c>
      <c r="F81" s="47">
        <f ca="1">IFERROR(__xludf.DUMMYFUNCTION("""COMPUTED_VALUE"""),0)</f>
        <v>0</v>
      </c>
      <c r="G81" s="48">
        <f ca="1">IFERROR(__xludf.DUMMYFUNCTION("""COMPUTED_VALUE"""),100)</f>
        <v>100</v>
      </c>
      <c r="H81" s="48">
        <f ca="1">IFERROR(__xludf.DUMMYFUNCTION("""COMPUTED_VALUE"""),0)</f>
        <v>0</v>
      </c>
      <c r="I81" s="48">
        <f ca="1">IFERROR(__xludf.DUMMYFUNCTION("""COMPUTED_VALUE"""),0)</f>
        <v>0</v>
      </c>
      <c r="J81" s="48">
        <f ca="1">IFERROR(__xludf.DUMMYFUNCTION("""COMPUTED_VALUE"""),0)</f>
        <v>0</v>
      </c>
      <c r="K81" s="48">
        <f ca="1">IFERROR(__xludf.DUMMYFUNCTION("""COMPUTED_VALUE"""),0)</f>
        <v>0</v>
      </c>
      <c r="L81" s="48">
        <f ca="1">IFERROR(__xludf.DUMMYFUNCTION("""COMPUTED_VALUE"""),0)</f>
        <v>0</v>
      </c>
      <c r="M81" s="48">
        <f ca="1">IFERROR(__xludf.DUMMYFUNCTION("""COMPUTED_VALUE"""),0)</f>
        <v>0</v>
      </c>
      <c r="N81" s="48">
        <f ca="1">IFERROR(__xludf.DUMMYFUNCTION("""COMPUTED_VALUE"""),0)</f>
        <v>0</v>
      </c>
      <c r="O81" s="48">
        <f ca="1">IFERROR(__xludf.DUMMYFUNCTION("""COMPUTED_VALUE"""),0)</f>
        <v>0</v>
      </c>
      <c r="P81" s="48">
        <f ca="1">IFERROR(__xludf.DUMMYFUNCTION("""COMPUTED_VALUE"""),0)</f>
        <v>0</v>
      </c>
      <c r="Q81" s="48">
        <f ca="1">IFERROR(__xludf.DUMMYFUNCTION("""COMPUTED_VALUE"""),0)</f>
        <v>0</v>
      </c>
      <c r="R81" s="48">
        <f ca="1">IFERROR(__xludf.DUMMYFUNCTION("""COMPUTED_VALUE"""),0)</f>
        <v>0</v>
      </c>
      <c r="S81" s="48">
        <f ca="1">IFERROR(__xludf.DUMMYFUNCTION("""COMPUTED_VALUE"""),100)</f>
        <v>100</v>
      </c>
    </row>
    <row r="82" spans="1:19">
      <c r="A82" s="46" t="str">
        <f ca="1">IFERROR(__xludf.DUMMYFUNCTION("""COMPUTED_VALUE"""),"ACCIONES DE MANTENIMIENTO A EDIFICIOS PÚBLICOS")</f>
        <v>ACCIONES DE MANTENIMIENTO A EDIFICIOS PÚBLICOS</v>
      </c>
      <c r="B82" s="46">
        <f ca="1">IFERROR(__xludf.DUMMYFUNCTION("""COMPUTED_VALUE"""),1)</f>
        <v>1</v>
      </c>
      <c r="C82" s="46"/>
      <c r="D82" s="46" t="str">
        <f ca="1">IFERROR(__xludf.DUMMYFUNCTION("""COMPUTED_VALUE"""),"ASCENDENTE")</f>
        <v>ASCENDENTE</v>
      </c>
      <c r="E82" s="46" t="str">
        <f ca="1">IFERROR(__xludf.DUMMYFUNCTION("""COMPUTED_VALUE"""),"BITACORA OPERATIVA")</f>
        <v>BITACORA OPERATIVA</v>
      </c>
      <c r="F82" s="47">
        <f ca="1">IFERROR(__xludf.DUMMYFUNCTION("""COMPUTED_VALUE"""),0)</f>
        <v>0</v>
      </c>
      <c r="G82" s="48">
        <f ca="1">IFERROR(__xludf.DUMMYFUNCTION("""COMPUTED_VALUE"""),0)</f>
        <v>0</v>
      </c>
      <c r="H82" s="48">
        <f ca="1">IFERROR(__xludf.DUMMYFUNCTION("""COMPUTED_VALUE"""),0)</f>
        <v>0</v>
      </c>
      <c r="I82" s="48">
        <f ca="1">IFERROR(__xludf.DUMMYFUNCTION("""COMPUTED_VALUE"""),0)</f>
        <v>0</v>
      </c>
      <c r="J82" s="48">
        <f ca="1">IFERROR(__xludf.DUMMYFUNCTION("""COMPUTED_VALUE"""),0)</f>
        <v>0</v>
      </c>
      <c r="K82" s="48">
        <f ca="1">IFERROR(__xludf.DUMMYFUNCTION("""COMPUTED_VALUE"""),0)</f>
        <v>0</v>
      </c>
      <c r="L82" s="48">
        <f ca="1">IFERROR(__xludf.DUMMYFUNCTION("""COMPUTED_VALUE"""),0)</f>
        <v>0</v>
      </c>
      <c r="M82" s="48">
        <f ca="1">IFERROR(__xludf.DUMMYFUNCTION("""COMPUTED_VALUE"""),0)</f>
        <v>0</v>
      </c>
      <c r="N82" s="48">
        <f ca="1">IFERROR(__xludf.DUMMYFUNCTION("""COMPUTED_VALUE"""),0)</f>
        <v>0</v>
      </c>
      <c r="O82" s="48">
        <f ca="1">IFERROR(__xludf.DUMMYFUNCTION("""COMPUTED_VALUE"""),0)</f>
        <v>0</v>
      </c>
      <c r="P82" s="48">
        <f ca="1">IFERROR(__xludf.DUMMYFUNCTION("""COMPUTED_VALUE"""),0)</f>
        <v>0</v>
      </c>
      <c r="Q82" s="48">
        <f ca="1">IFERROR(__xludf.DUMMYFUNCTION("""COMPUTED_VALUE"""),0)</f>
        <v>0</v>
      </c>
      <c r="R82" s="48">
        <f ca="1">IFERROR(__xludf.DUMMYFUNCTION("""COMPUTED_VALUE"""),0)</f>
        <v>0</v>
      </c>
      <c r="S82" s="48">
        <f ca="1">IFERROR(__xludf.DUMMYFUNCTION("""COMPUTED_VALUE"""),0)</f>
        <v>0</v>
      </c>
    </row>
    <row r="83" spans="1:19">
      <c r="A83" s="46" t="str">
        <f ca="1">IFERROR(__xludf.DUMMYFUNCTION("""COMPUTED_VALUE"""),"SACRIFICIO HUMANITARIO DE PERROS Y GATOS")</f>
        <v>SACRIFICIO HUMANITARIO DE PERROS Y GATOS</v>
      </c>
      <c r="B83" s="46">
        <f ca="1">IFERROR(__xludf.DUMMYFUNCTION("""COMPUTED_VALUE"""),1)</f>
        <v>1</v>
      </c>
      <c r="C83" s="46"/>
      <c r="D83" s="46" t="str">
        <f ca="1">IFERROR(__xludf.DUMMYFUNCTION("""COMPUTED_VALUE"""),"ASCENDENTE")</f>
        <v>ASCENDENTE</v>
      </c>
      <c r="E83" s="46" t="str">
        <f ca="1">IFERROR(__xludf.DUMMYFUNCTION("""COMPUTED_VALUE"""),"BITACORA OPERATIVA")</f>
        <v>BITACORA OPERATIVA</v>
      </c>
      <c r="F83" s="47">
        <f ca="1">IFERROR(__xludf.DUMMYFUNCTION("""COMPUTED_VALUE"""),0)</f>
        <v>0</v>
      </c>
      <c r="G83" s="48">
        <f ca="1">IFERROR(__xludf.DUMMYFUNCTION("""COMPUTED_VALUE"""),0)</f>
        <v>0</v>
      </c>
      <c r="H83" s="48">
        <f ca="1">IFERROR(__xludf.DUMMYFUNCTION("""COMPUTED_VALUE"""),0)</f>
        <v>0</v>
      </c>
      <c r="I83" s="48">
        <f ca="1">IFERROR(__xludf.DUMMYFUNCTION("""COMPUTED_VALUE"""),0)</f>
        <v>0</v>
      </c>
      <c r="J83" s="48">
        <f ca="1">IFERROR(__xludf.DUMMYFUNCTION("""COMPUTED_VALUE"""),0)</f>
        <v>0</v>
      </c>
      <c r="K83" s="48">
        <f ca="1">IFERROR(__xludf.DUMMYFUNCTION("""COMPUTED_VALUE"""),0)</f>
        <v>0</v>
      </c>
      <c r="L83" s="48">
        <f ca="1">IFERROR(__xludf.DUMMYFUNCTION("""COMPUTED_VALUE"""),0)</f>
        <v>0</v>
      </c>
      <c r="M83" s="48">
        <f ca="1">IFERROR(__xludf.DUMMYFUNCTION("""COMPUTED_VALUE"""),0)</f>
        <v>0</v>
      </c>
      <c r="N83" s="48">
        <f ca="1">IFERROR(__xludf.DUMMYFUNCTION("""COMPUTED_VALUE"""),0)</f>
        <v>0</v>
      </c>
      <c r="O83" s="48">
        <f ca="1">IFERROR(__xludf.DUMMYFUNCTION("""COMPUTED_VALUE"""),0)</f>
        <v>0</v>
      </c>
      <c r="P83" s="48">
        <f ca="1">IFERROR(__xludf.DUMMYFUNCTION("""COMPUTED_VALUE"""),0)</f>
        <v>0</v>
      </c>
      <c r="Q83" s="48">
        <f ca="1">IFERROR(__xludf.DUMMYFUNCTION("""COMPUTED_VALUE"""),0)</f>
        <v>0</v>
      </c>
      <c r="R83" s="48">
        <f ca="1">IFERROR(__xludf.DUMMYFUNCTION("""COMPUTED_VALUE"""),0)</f>
        <v>0</v>
      </c>
      <c r="S83" s="48">
        <f ca="1">IFERROR(__xludf.DUMMYFUNCTION("""COMPUTED_VALUE"""),0)</f>
        <v>0</v>
      </c>
    </row>
    <row r="84" spans="1:19">
      <c r="A84" s="46" t="str">
        <f ca="1">IFERROR(__xludf.DUMMYFUNCTION("""COMPUTED_VALUE"""),"ANIMALES EN RESGUARDO EN UNIDAD DE CONTROL CANINO")</f>
        <v>ANIMALES EN RESGUARDO EN UNIDAD DE CONTROL CANINO</v>
      </c>
      <c r="B84" s="46">
        <f ca="1">IFERROR(__xludf.DUMMYFUNCTION("""COMPUTED_VALUE"""),1)</f>
        <v>1</v>
      </c>
      <c r="C84" s="46"/>
      <c r="D84" s="46" t="str">
        <f ca="1">IFERROR(__xludf.DUMMYFUNCTION("""COMPUTED_VALUE"""),"ASCENDENTE")</f>
        <v>ASCENDENTE</v>
      </c>
      <c r="E84" s="46" t="str">
        <f ca="1">IFERROR(__xludf.DUMMYFUNCTION("""COMPUTED_VALUE"""),"BITACORA OPERATIVA")</f>
        <v>BITACORA OPERATIVA</v>
      </c>
      <c r="F84" s="47">
        <f ca="1">IFERROR(__xludf.DUMMYFUNCTION("""COMPUTED_VALUE"""),0)</f>
        <v>0</v>
      </c>
      <c r="G84" s="48">
        <f ca="1">IFERROR(__xludf.DUMMYFUNCTION("""COMPUTED_VALUE"""),20)</f>
        <v>20</v>
      </c>
      <c r="H84" s="48">
        <f ca="1">IFERROR(__xludf.DUMMYFUNCTION("""COMPUTED_VALUE"""),19)</f>
        <v>19</v>
      </c>
      <c r="I84" s="48">
        <f ca="1">IFERROR(__xludf.DUMMYFUNCTION("""COMPUTED_VALUE"""),0)</f>
        <v>0</v>
      </c>
      <c r="J84" s="48">
        <f ca="1">IFERROR(__xludf.DUMMYFUNCTION("""COMPUTED_VALUE"""),0)</f>
        <v>0</v>
      </c>
      <c r="K84" s="48">
        <f ca="1">IFERROR(__xludf.DUMMYFUNCTION("""COMPUTED_VALUE"""),0)</f>
        <v>0</v>
      </c>
      <c r="L84" s="48">
        <f ca="1">IFERROR(__xludf.DUMMYFUNCTION("""COMPUTED_VALUE"""),0)</f>
        <v>0</v>
      </c>
      <c r="M84" s="48">
        <f ca="1">IFERROR(__xludf.DUMMYFUNCTION("""COMPUTED_VALUE"""),0)</f>
        <v>0</v>
      </c>
      <c r="N84" s="48">
        <f ca="1">IFERROR(__xludf.DUMMYFUNCTION("""COMPUTED_VALUE"""),0)</f>
        <v>0</v>
      </c>
      <c r="O84" s="48">
        <f ca="1">IFERROR(__xludf.DUMMYFUNCTION("""COMPUTED_VALUE"""),0)</f>
        <v>0</v>
      </c>
      <c r="P84" s="48">
        <f ca="1">IFERROR(__xludf.DUMMYFUNCTION("""COMPUTED_VALUE"""),0)</f>
        <v>0</v>
      </c>
      <c r="Q84" s="48">
        <f ca="1">IFERROR(__xludf.DUMMYFUNCTION("""COMPUTED_VALUE"""),0)</f>
        <v>0</v>
      </c>
      <c r="R84" s="48">
        <f ca="1">IFERROR(__xludf.DUMMYFUNCTION("""COMPUTED_VALUE"""),0)</f>
        <v>0</v>
      </c>
      <c r="S84" s="48">
        <f ca="1">IFERROR(__xludf.DUMMYFUNCTION("""COMPUTED_VALUE"""),39)</f>
        <v>39</v>
      </c>
    </row>
    <row r="85" spans="1:19">
      <c r="A85" s="46" t="str">
        <f ca="1">IFERROR(__xludf.DUMMYFUNCTION("""COMPUTED_VALUE"""),"CAMPAÑAS PARA MASCOTAS REALIZADAS (VACUNACION, ESTERILIZACION ETC).")</f>
        <v>CAMPAÑAS PARA MASCOTAS REALIZADAS (VACUNACION, ESTERILIZACION ETC).</v>
      </c>
      <c r="B85" s="46">
        <f ca="1">IFERROR(__xludf.DUMMYFUNCTION("""COMPUTED_VALUE"""),1)</f>
        <v>1</v>
      </c>
      <c r="C85" s="46"/>
      <c r="D85" s="46" t="str">
        <f ca="1">IFERROR(__xludf.DUMMYFUNCTION("""COMPUTED_VALUE"""),"ASCENDENTE")</f>
        <v>ASCENDENTE</v>
      </c>
      <c r="E85" s="46" t="str">
        <f ca="1">IFERROR(__xludf.DUMMYFUNCTION("""COMPUTED_VALUE"""),"BITACORA OPERATIVA")</f>
        <v>BITACORA OPERATIVA</v>
      </c>
      <c r="F85" s="47">
        <f ca="1">IFERROR(__xludf.DUMMYFUNCTION("""COMPUTED_VALUE"""),0)</f>
        <v>0</v>
      </c>
      <c r="G85" s="48">
        <f ca="1">IFERROR(__xludf.DUMMYFUNCTION("""COMPUTED_VALUE"""),4)</f>
        <v>4</v>
      </c>
      <c r="H85" s="48">
        <f ca="1">IFERROR(__xludf.DUMMYFUNCTION("""COMPUTED_VALUE"""),0)</f>
        <v>0</v>
      </c>
      <c r="I85" s="48">
        <f ca="1">IFERROR(__xludf.DUMMYFUNCTION("""COMPUTED_VALUE"""),0)</f>
        <v>0</v>
      </c>
      <c r="J85" s="48">
        <f ca="1">IFERROR(__xludf.DUMMYFUNCTION("""COMPUTED_VALUE"""),0)</f>
        <v>0</v>
      </c>
      <c r="K85" s="48">
        <f ca="1">IFERROR(__xludf.DUMMYFUNCTION("""COMPUTED_VALUE"""),0)</f>
        <v>0</v>
      </c>
      <c r="L85" s="48">
        <f ca="1">IFERROR(__xludf.DUMMYFUNCTION("""COMPUTED_VALUE"""),0)</f>
        <v>0</v>
      </c>
      <c r="M85" s="48">
        <f ca="1">IFERROR(__xludf.DUMMYFUNCTION("""COMPUTED_VALUE"""),0)</f>
        <v>0</v>
      </c>
      <c r="N85" s="48">
        <f ca="1">IFERROR(__xludf.DUMMYFUNCTION("""COMPUTED_VALUE"""),0)</f>
        <v>0</v>
      </c>
      <c r="O85" s="48">
        <f ca="1">IFERROR(__xludf.DUMMYFUNCTION("""COMPUTED_VALUE"""),0)</f>
        <v>0</v>
      </c>
      <c r="P85" s="48">
        <f ca="1">IFERROR(__xludf.DUMMYFUNCTION("""COMPUTED_VALUE"""),0)</f>
        <v>0</v>
      </c>
      <c r="Q85" s="48">
        <f ca="1">IFERROR(__xludf.DUMMYFUNCTION("""COMPUTED_VALUE"""),0)</f>
        <v>0</v>
      </c>
      <c r="R85" s="48">
        <f ca="1">IFERROR(__xludf.DUMMYFUNCTION("""COMPUTED_VALUE"""),0)</f>
        <v>0</v>
      </c>
      <c r="S85" s="48">
        <f ca="1">IFERROR(__xludf.DUMMYFUNCTION("""COMPUTED_VALUE"""),4)</f>
        <v>4</v>
      </c>
    </row>
    <row r="86" spans="1:19">
      <c r="A86" s="46" t="str">
        <f ca="1">IFERROR(__xludf.DUMMYFUNCTION("""COMPUTED_VALUE"""),"ANIMALES ATENDIDOS EN CAMPAÑAS DE ESTERILIZACION")</f>
        <v>ANIMALES ATENDIDOS EN CAMPAÑAS DE ESTERILIZACION</v>
      </c>
      <c r="B86" s="46">
        <f ca="1">IFERROR(__xludf.DUMMYFUNCTION("""COMPUTED_VALUE"""),1)</f>
        <v>1</v>
      </c>
      <c r="C86" s="46"/>
      <c r="D86" s="46" t="str">
        <f ca="1">IFERROR(__xludf.DUMMYFUNCTION("""COMPUTED_VALUE"""),"ASCENDENTE")</f>
        <v>ASCENDENTE</v>
      </c>
      <c r="E86" s="46" t="str">
        <f ca="1">IFERROR(__xludf.DUMMYFUNCTION("""COMPUTED_VALUE"""),"BITACORA OPERATIVA")</f>
        <v>BITACORA OPERATIVA</v>
      </c>
      <c r="F86" s="47">
        <f ca="1">IFERROR(__xludf.DUMMYFUNCTION("""COMPUTED_VALUE"""),0)</f>
        <v>0</v>
      </c>
      <c r="G86" s="48">
        <f ca="1">IFERROR(__xludf.DUMMYFUNCTION("""COMPUTED_VALUE"""),6)</f>
        <v>6</v>
      </c>
      <c r="H86" s="48">
        <f ca="1">IFERROR(__xludf.DUMMYFUNCTION("""COMPUTED_VALUE"""),16)</f>
        <v>16</v>
      </c>
      <c r="I86" s="48">
        <f ca="1">IFERROR(__xludf.DUMMYFUNCTION("""COMPUTED_VALUE"""),0)</f>
        <v>0</v>
      </c>
      <c r="J86" s="48">
        <f ca="1">IFERROR(__xludf.DUMMYFUNCTION("""COMPUTED_VALUE"""),0)</f>
        <v>0</v>
      </c>
      <c r="K86" s="48">
        <f ca="1">IFERROR(__xludf.DUMMYFUNCTION("""COMPUTED_VALUE"""),0)</f>
        <v>0</v>
      </c>
      <c r="L86" s="48">
        <f ca="1">IFERROR(__xludf.DUMMYFUNCTION("""COMPUTED_VALUE"""),0)</f>
        <v>0</v>
      </c>
      <c r="M86" s="48">
        <f ca="1">IFERROR(__xludf.DUMMYFUNCTION("""COMPUTED_VALUE"""),0)</f>
        <v>0</v>
      </c>
      <c r="N86" s="48">
        <f ca="1">IFERROR(__xludf.DUMMYFUNCTION("""COMPUTED_VALUE"""),0)</f>
        <v>0</v>
      </c>
      <c r="O86" s="48">
        <f ca="1">IFERROR(__xludf.DUMMYFUNCTION("""COMPUTED_VALUE"""),0)</f>
        <v>0</v>
      </c>
      <c r="P86" s="48">
        <f ca="1">IFERROR(__xludf.DUMMYFUNCTION("""COMPUTED_VALUE"""),0)</f>
        <v>0</v>
      </c>
      <c r="Q86" s="48">
        <f ca="1">IFERROR(__xludf.DUMMYFUNCTION("""COMPUTED_VALUE"""),0)</f>
        <v>0</v>
      </c>
      <c r="R86" s="48">
        <f ca="1">IFERROR(__xludf.DUMMYFUNCTION("""COMPUTED_VALUE"""),0)</f>
        <v>0</v>
      </c>
      <c r="S86" s="48">
        <f ca="1">IFERROR(__xludf.DUMMYFUNCTION("""COMPUTED_VALUE"""),22)</f>
        <v>22</v>
      </c>
    </row>
    <row r="87" spans="1:19">
      <c r="A87" s="46" t="str">
        <f ca="1">IFERROR(__xludf.DUMMYFUNCTION("""COMPUTED_VALUE"""),"ANIMALES VIVOS RECOGIDOS EN VIA PUBLICA")</f>
        <v>ANIMALES VIVOS RECOGIDOS EN VIA PUBLICA</v>
      </c>
      <c r="B87" s="46">
        <f ca="1">IFERROR(__xludf.DUMMYFUNCTION("""COMPUTED_VALUE"""),1)</f>
        <v>1</v>
      </c>
      <c r="C87" s="46"/>
      <c r="D87" s="46" t="str">
        <f ca="1">IFERROR(__xludf.DUMMYFUNCTION("""COMPUTED_VALUE"""),"ASCENDENTE")</f>
        <v>ASCENDENTE</v>
      </c>
      <c r="E87" s="46" t="str">
        <f ca="1">IFERROR(__xludf.DUMMYFUNCTION("""COMPUTED_VALUE"""),"BITACORA OPERATIVA")</f>
        <v>BITACORA OPERATIVA</v>
      </c>
      <c r="F87" s="47">
        <f ca="1">IFERROR(__xludf.DUMMYFUNCTION("""COMPUTED_VALUE"""),0)</f>
        <v>0</v>
      </c>
      <c r="G87" s="48">
        <f ca="1">IFERROR(__xludf.DUMMYFUNCTION("""COMPUTED_VALUE"""),23)</f>
        <v>23</v>
      </c>
      <c r="H87" s="48">
        <f ca="1">IFERROR(__xludf.DUMMYFUNCTION("""COMPUTED_VALUE"""),24)</f>
        <v>24</v>
      </c>
      <c r="I87" s="48">
        <f ca="1">IFERROR(__xludf.DUMMYFUNCTION("""COMPUTED_VALUE"""),0)</f>
        <v>0</v>
      </c>
      <c r="J87" s="48">
        <f ca="1">IFERROR(__xludf.DUMMYFUNCTION("""COMPUTED_VALUE"""),0)</f>
        <v>0</v>
      </c>
      <c r="K87" s="48">
        <f ca="1">IFERROR(__xludf.DUMMYFUNCTION("""COMPUTED_VALUE"""),0)</f>
        <v>0</v>
      </c>
      <c r="L87" s="48">
        <f ca="1">IFERROR(__xludf.DUMMYFUNCTION("""COMPUTED_VALUE"""),0)</f>
        <v>0</v>
      </c>
      <c r="M87" s="48">
        <f ca="1">IFERROR(__xludf.DUMMYFUNCTION("""COMPUTED_VALUE"""),0)</f>
        <v>0</v>
      </c>
      <c r="N87" s="48">
        <f ca="1">IFERROR(__xludf.DUMMYFUNCTION("""COMPUTED_VALUE"""),0)</f>
        <v>0</v>
      </c>
      <c r="O87" s="48">
        <f ca="1">IFERROR(__xludf.DUMMYFUNCTION("""COMPUTED_VALUE"""),0)</f>
        <v>0</v>
      </c>
      <c r="P87" s="48">
        <f ca="1">IFERROR(__xludf.DUMMYFUNCTION("""COMPUTED_VALUE"""),0)</f>
        <v>0</v>
      </c>
      <c r="Q87" s="48">
        <f ca="1">IFERROR(__xludf.DUMMYFUNCTION("""COMPUTED_VALUE"""),0)</f>
        <v>0</v>
      </c>
      <c r="R87" s="48">
        <f ca="1">IFERROR(__xludf.DUMMYFUNCTION("""COMPUTED_VALUE"""),0)</f>
        <v>0</v>
      </c>
      <c r="S87" s="48">
        <f ca="1">IFERROR(__xludf.DUMMYFUNCTION("""COMPUTED_VALUE"""),47)</f>
        <v>47</v>
      </c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 summaryRight="0"/>
  </sheetPr>
  <dimension ref="A1:S946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IFERROR(__xludf.DUMMYFUNCTION("IMPORTRANGE(""https://docs.google.com/spreadsheets/d/1g-h1aS3-3hlyBHv3TTw1_RiRJ9wIMFhsu0KL2nhJoII/edit?gid=226170794#gid=226170794"",""01!A1:S"")"),"INDICADORES")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 SANCIONES  A LAS PERSONAS EN ESTADO DE EBRIEDAD O BAJO EL INFLUJO DE ALGUN ESTUPEFACIENTE.")</f>
        <v xml:space="preserve"> SANCIONES  A LAS PERSONAS EN ESTADO DE EBRIEDAD O BAJO EL INFLUJO DE ALGUN ESTUPEFACIENTE.</v>
      </c>
      <c r="B2" s="46">
        <f ca="1">IFERROR(__xludf.DUMMYFUNCTION("""COMPUTED_VALUE"""),1)</f>
        <v>1</v>
      </c>
      <c r="C2" s="46" t="str">
        <f ca="1">IFERROR(__xludf.DUMMYFUNCTION("""COMPUTED_VALUE"""),"PERSONAS SANCIONADAS")</f>
        <v>PERSONAS SANCIONADAS</v>
      </c>
      <c r="D2" s="46" t="str">
        <f ca="1">IFERROR(__xludf.DUMMYFUNCTION("""COMPUTED_VALUE"""),"DESCENDENTE")</f>
        <v>DESCENDENTE</v>
      </c>
      <c r="E2" s="46" t="str">
        <f ca="1">IFERROR(__xludf.DUMMYFUNCTION("""COMPUTED_VALUE"""),"BITACORA DE ATENCION")</f>
        <v>BITACORA DE ATENCION</v>
      </c>
      <c r="F2" s="48">
        <f ca="1">IFERROR(__xludf.DUMMYFUNCTION("""COMPUTED_VALUE"""),0)</f>
        <v>0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IFERROR(__xludf.DUMMYFUNCTION("""COMPUTED_VALUE"""),0)</f>
        <v>0</v>
      </c>
    </row>
    <row r="3" spans="1:19">
      <c r="A3" s="46" t="str">
        <f ca="1">IFERROR(__xludf.DUMMYFUNCTION("""COMPUTED_VALUE"""),"SANCIONES POR CONSUMIR BEBIDAS ALCOHÓLICAS EN LUGARES PUBLICOS")</f>
        <v>SANCIONES POR CONSUMIR BEBIDAS ALCOHÓLICAS EN LUGARES PUBLICOS</v>
      </c>
      <c r="B3" s="46">
        <f ca="1">IFERROR(__xludf.DUMMYFUNCTION("""COMPUTED_VALUE"""),1)</f>
        <v>1</v>
      </c>
      <c r="C3" s="46" t="str">
        <f ca="1">IFERROR(__xludf.DUMMYFUNCTION("""COMPUTED_VALUE"""),"PERSONAS SANCIONADAS")</f>
        <v>PERSONAS SANCIONADAS</v>
      </c>
      <c r="D3" s="46" t="str">
        <f ca="1">IFERROR(__xludf.DUMMYFUNCTION("""COMPUTED_VALUE"""),"DESCENDENTE")</f>
        <v>DESCENDENTE</v>
      </c>
      <c r="E3" s="46" t="str">
        <f ca="1">IFERROR(__xludf.DUMMYFUNCTION("""COMPUTED_VALUE"""),"BITACORA DE ATENCION")</f>
        <v>BITACORA DE ATENCION</v>
      </c>
      <c r="F3" s="48">
        <f ca="1">IFERROR(__xludf.DUMMYFUNCTION("""COMPUTED_VALUE"""),0)</f>
        <v>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IFERROR(__xludf.DUMMYFUNCTION("""COMPUTED_VALUE"""),0)</f>
        <v>0</v>
      </c>
    </row>
    <row r="4" spans="1:19">
      <c r="A4" s="46" t="str">
        <f ca="1">IFERROR(__xludf.DUMMYFUNCTION("""COMPUTED_VALUE"""),"SANCIONES POR CONSUMIR SUSTANCIAS QUE PROVOQUEN DEPENDENCIA EN LUGARES PÚBLICOS")</f>
        <v>SANCIONES POR CONSUMIR SUSTANCIAS QUE PROVOQUEN DEPENDENCIA EN LUGARES PÚBLICOS</v>
      </c>
      <c r="B4" s="46">
        <f ca="1">IFERROR(__xludf.DUMMYFUNCTION("""COMPUTED_VALUE"""),1)</f>
        <v>1</v>
      </c>
      <c r="C4" s="46" t="str">
        <f ca="1">IFERROR(__xludf.DUMMYFUNCTION("""COMPUTED_VALUE"""),"PERSONAS SANCIONADAS")</f>
        <v>PERSONAS SANCIONADAS</v>
      </c>
      <c r="D4" s="46" t="str">
        <f ca="1">IFERROR(__xludf.DUMMYFUNCTION("""COMPUTED_VALUE"""),"DESCENDENTE")</f>
        <v>DESCENDENTE</v>
      </c>
      <c r="E4" s="46" t="str">
        <f ca="1">IFERROR(__xludf.DUMMYFUNCTION("""COMPUTED_VALUE"""),"BITACORA DE ATENCION")</f>
        <v>BITACORA DE ATENCION</v>
      </c>
      <c r="F4" s="48">
        <f ca="1">IFERROR(__xludf.DUMMYFUNCTION("""COMPUTED_VALUE"""),0)</f>
        <v>0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IFERROR(__xludf.DUMMYFUNCTION("""COMPUTED_VALUE"""),0)</f>
        <v>0</v>
      </c>
    </row>
    <row r="5" spans="1:19">
      <c r="A5" s="46" t="str">
        <f ca="1">IFERROR(__xludf.DUMMYFUNCTION("""COMPUTED_VALUE"""),"SANCIONES POR CONDUCIR VEHICULOS EN ESTADO DE EBRIEDAD O BAJO EL INFLUJO DE SUSTANCIAS QUE PROVOQUEN DEPENDENCIA")</f>
        <v>SANCIONES POR CONDUCIR VEHICULOS EN ESTADO DE EBRIEDAD O BAJO EL INFLUJO DE SUSTANCIAS QUE PROVOQUEN DEPENDENCIA</v>
      </c>
      <c r="B5" s="46">
        <f ca="1">IFERROR(__xludf.DUMMYFUNCTION("""COMPUTED_VALUE"""),1)</f>
        <v>1</v>
      </c>
      <c r="C5" s="46" t="str">
        <f ca="1">IFERROR(__xludf.DUMMYFUNCTION("""COMPUTED_VALUE"""),"PERSONAS SANCIONADAS")</f>
        <v>PERSONAS SANCIONADAS</v>
      </c>
      <c r="D5" s="46" t="str">
        <f ca="1">IFERROR(__xludf.DUMMYFUNCTION("""COMPUTED_VALUE"""),"DESCENDENTE")</f>
        <v>DESCENDENTE</v>
      </c>
      <c r="E5" s="46" t="str">
        <f ca="1">IFERROR(__xludf.DUMMYFUNCTION("""COMPUTED_VALUE"""),"BITACORA OPERATIVA")</f>
        <v>BITACORA OPERATIVA</v>
      </c>
      <c r="F5" s="48">
        <f ca="1">IFERROR(__xludf.DUMMYFUNCTION("""COMPUTED_VALUE"""),0)</f>
        <v>0</v>
      </c>
      <c r="G5" s="48">
        <f ca="1">IFERROR(__xludf.DUMMYFUNCTION("""COMPUTED_VALUE"""),0)</f>
        <v>0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IFERROR(__xludf.DUMMYFUNCTION("""COMPUTED_VALUE"""),0)</f>
        <v>0</v>
      </c>
    </row>
    <row r="6" spans="1:19">
      <c r="A6" s="46" t="str">
        <f ca="1">IFERROR(__xludf.DUMMYFUNCTION("""COMPUTED_VALUE"""),"OTRAS INFRACCIONES RELACIONADAS AL CONSUMO    Y/O SUMINISTRO DE SUSTANCIAS QUE ALTERAN LA SALUD Y ESTADO FÍSICO")</f>
        <v>OTRAS INFRACCIONES RELACIONADAS AL CONSUMO    Y/O SUMINISTRO DE SUSTANCIAS QUE ALTERAN LA SALUD Y ESTADO FÍSICO</v>
      </c>
      <c r="B6" s="46">
        <f ca="1">IFERROR(__xludf.DUMMYFUNCTION("""COMPUTED_VALUE"""),1)</f>
        <v>1</v>
      </c>
      <c r="C6" s="46" t="str">
        <f ca="1">IFERROR(__xludf.DUMMYFUNCTION("""COMPUTED_VALUE"""),"PERSONAS SANCIONADAS")</f>
        <v>PERSONAS SANCIONADAS</v>
      </c>
      <c r="D6" s="46" t="str">
        <f ca="1">IFERROR(__xludf.DUMMYFUNCTION("""COMPUTED_VALUE"""),"DESCENDENTE")</f>
        <v>DESCENDENTE</v>
      </c>
      <c r="E6" s="46" t="str">
        <f ca="1">IFERROR(__xludf.DUMMYFUNCTION("""COMPUTED_VALUE"""),"BITACORA OPERATIVA")</f>
        <v>BITACORA OPERATIVA</v>
      </c>
      <c r="F6" s="48">
        <f ca="1">IFERROR(__xludf.DUMMYFUNCTION("""COMPUTED_VALUE"""),0)</f>
        <v>0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IFERROR(__xludf.DUMMYFUNCTION("""COMPUTED_VALUE"""),0)</f>
        <v>0</v>
      </c>
    </row>
    <row r="7" spans="1:19">
      <c r="A7" s="46" t="str">
        <f ca="1">IFERROR(__xludf.DUMMYFUNCTION("""COMPUTED_VALUE"""),"SANCIONES POR CAUSAR AFECTACIÓN A BIENES DE PROPIEDAD PARTICULAR")</f>
        <v>SANCIONES POR CAUSAR AFECTACIÓN A BIENES DE PROPIEDAD PARTICULAR</v>
      </c>
      <c r="B7" s="46">
        <f ca="1">IFERROR(__xludf.DUMMYFUNCTION("""COMPUTED_VALUE"""),1)</f>
        <v>1</v>
      </c>
      <c r="C7" s="46" t="str">
        <f ca="1">IFERROR(__xludf.DUMMYFUNCTION("""COMPUTED_VALUE"""),"PERSONAS SANCIONADAS")</f>
        <v>PERSONAS SANCIONADAS</v>
      </c>
      <c r="D7" s="46" t="str">
        <f ca="1">IFERROR(__xludf.DUMMYFUNCTION("""COMPUTED_VALUE"""),"DESCENDENTE")</f>
        <v>DESCENDENTE</v>
      </c>
      <c r="E7" s="46" t="str">
        <f ca="1">IFERROR(__xludf.DUMMYFUNCTION("""COMPUTED_VALUE"""),"BITACORA OPERATIVA")</f>
        <v>BITACORA OPERATIVA</v>
      </c>
      <c r="F7" s="48">
        <f ca="1">IFERROR(__xludf.DUMMYFUNCTION("""COMPUTED_VALUE"""),0)</f>
        <v>0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IFERROR(__xludf.DUMMYFUNCTION("""COMPUTED_VALUE"""),0)</f>
        <v>0</v>
      </c>
    </row>
    <row r="8" spans="1:19">
      <c r="A8" s="46" t="str">
        <f ca="1">IFERROR(__xludf.DUMMYFUNCTION("""COMPUTED_VALUE"""),"SANCIONES POR PROVOCAR DAÑO A BIENES DE PROPIEDAD MUNICIPAL O DELEGACIONAL")</f>
        <v>SANCIONES POR PROVOCAR DAÑO A BIENES DE PROPIEDAD MUNICIPAL O DELEGACIONAL</v>
      </c>
      <c r="B8" s="46">
        <f ca="1">IFERROR(__xludf.DUMMYFUNCTION("""COMPUTED_VALUE"""),1)</f>
        <v>1</v>
      </c>
      <c r="C8" s="46" t="str">
        <f ca="1">IFERROR(__xludf.DUMMYFUNCTION("""COMPUTED_VALUE"""),"PERSONAS SANCIONADAS")</f>
        <v>PERSONAS SANCIONADAS</v>
      </c>
      <c r="D8" s="46" t="str">
        <f ca="1">IFERROR(__xludf.DUMMYFUNCTION("""COMPUTED_VALUE"""),"DESCENDENTE")</f>
        <v>DESCENDENTE</v>
      </c>
      <c r="E8" s="46" t="str">
        <f ca="1">IFERROR(__xludf.DUMMYFUNCTION("""COMPUTED_VALUE"""),"BITACORA OPERATIVA")</f>
        <v>BITACORA OPERATIVA</v>
      </c>
      <c r="F8" s="48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IFERROR(__xludf.DUMMYFUNCTION("""COMPUTED_VALUE"""),"SANCIONES POR OTRAS INFRACCIONES RELACIONADAS CON EL DAÑO A LAS COSAS (EN CONTRA DE LA PROPIEDAD PRIVADA O DE DOMINIO PÚBLICO).")</f>
        <v>SANCIONES POR OTRAS INFRACCIONES RELACIONADAS CON EL DAÑO A LAS COSAS (EN CONTRA DE LA PROPIEDAD PRIVADA O DE DOMINIO PÚBLICO).</v>
      </c>
      <c r="B9" s="46">
        <f ca="1">IFERROR(__xludf.DUMMYFUNCTION("""COMPUTED_VALUE"""),1)</f>
        <v>1</v>
      </c>
      <c r="C9" s="46" t="str">
        <f ca="1">IFERROR(__xludf.DUMMYFUNCTION("""COMPUTED_VALUE"""),"PERSONAS SANCIONADAS")</f>
        <v>PERSONAS SANCIONADAS</v>
      </c>
      <c r="D9" s="46" t="str">
        <f ca="1">IFERROR(__xludf.DUMMYFUNCTION("""COMPUTED_VALUE"""),"DESCENDENTE")</f>
        <v>DESCENDENTE</v>
      </c>
      <c r="E9" s="46" t="str">
        <f ca="1">IFERROR(__xludf.DUMMYFUNCTION("""COMPUTED_VALUE"""),"BITACORA OPERATIVA")</f>
        <v>BITACORA OPERATIVA</v>
      </c>
      <c r="F9" s="48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IFERROR(__xludf.DUMMYFUNCTION("""COMPUTED_VALUE"""),"SANCIONES POR AGREDIR FISICA O VERBALMENTE A LOS ELEMENTOS OPERATIVOS")</f>
        <v>SANCIONES POR AGREDIR FISICA O VERBALMENTE A LOS ELEMENTOS OPERATIVOS</v>
      </c>
      <c r="B10" s="46">
        <f ca="1">IFERROR(__xludf.DUMMYFUNCTION("""COMPUTED_VALUE"""),1)</f>
        <v>1</v>
      </c>
      <c r="C10" s="46" t="str">
        <f ca="1">IFERROR(__xludf.DUMMYFUNCTION("""COMPUTED_VALUE"""),"PERSONAS SANCIONADAS")</f>
        <v>PERSONAS SANCIONADAS</v>
      </c>
      <c r="D10" s="46" t="str">
        <f ca="1">IFERROR(__xludf.DUMMYFUNCTION("""COMPUTED_VALUE"""),"DESCENDENTE")</f>
        <v>DESCENDENTE</v>
      </c>
      <c r="E10" s="46" t="str">
        <f ca="1">IFERROR(__xludf.DUMMYFUNCTION("""COMPUTED_VALUE"""),"BITACORA OPERATIVA")</f>
        <v>BITACORA OPERATIVA</v>
      </c>
      <c r="F10" s="48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IFERROR(__xludf.DUMMYFUNCTION("""COMPUTED_VALUE"""),"SANCIONES RELACIONADAS A OTRAS INFRACCIONES RELACIONADAS AL CONSUMO    Y/O SUMINISTRO DE SUSTANCIAS QUE ALTERAN LA SALUD Y ESTADO FÍSICO")</f>
        <v>SANCIONES RELACIONADAS A OTRAS INFRACCIONES RELACIONADAS AL CONSUMO    Y/O SUMINISTRO DE SUSTANCIAS QUE ALTERAN LA SALUD Y ESTADO FÍSICO</v>
      </c>
      <c r="B11" s="46">
        <f ca="1">IFERROR(__xludf.DUMMYFUNCTION("""COMPUTED_VALUE"""),1)</f>
        <v>1</v>
      </c>
      <c r="C11" s="46" t="str">
        <f ca="1">IFERROR(__xludf.DUMMYFUNCTION("""COMPUTED_VALUE"""),"PERSONAS SANCIONADAS")</f>
        <v>PERSONAS SANCIONADAS</v>
      </c>
      <c r="D11" s="46" t="str">
        <f ca="1">IFERROR(__xludf.DUMMYFUNCTION("""COMPUTED_VALUE"""),"DESCENDENTE")</f>
        <v>DESCENDENTE</v>
      </c>
      <c r="E11" s="46" t="str">
        <f ca="1">IFERROR(__xludf.DUMMYFUNCTION("""COMPUTED_VALUE"""),"BITACORA OPERATIVA")</f>
        <v>BITACORA OPERATIVA</v>
      </c>
      <c r="F11" s="48">
        <f ca="1">IFERROR(__xludf.DUMMYFUNCTION("""COMPUTED_VALUE"""),0)</f>
        <v>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IFERROR(__xludf.DUMMYFUNCTION("""COMPUTED_VALUE"""),0)</f>
        <v>0</v>
      </c>
    </row>
    <row r="12" spans="1:19">
      <c r="A12" s="46" t="str">
        <f ca="1">IFERROR(__xludf.DUMMYFUNCTION("""COMPUTED_VALUE"""),"SANCIONES REALIZADAS A  NECESIDADES FISIOLÓGICAS")</f>
        <v>SANCIONES REALIZADAS A  NECESIDADES FISIOLÓGICAS</v>
      </c>
      <c r="B12" s="46">
        <f ca="1">IFERROR(__xludf.DUMMYFUNCTION("""COMPUTED_VALUE"""),1)</f>
        <v>1</v>
      </c>
      <c r="C12" s="46" t="str">
        <f ca="1">IFERROR(__xludf.DUMMYFUNCTION("""COMPUTED_VALUE"""),"PERSONAS SANCIONADAS")</f>
        <v>PERSONAS SANCIONADAS</v>
      </c>
      <c r="D12" s="46" t="str">
        <f ca="1">IFERROR(__xludf.DUMMYFUNCTION("""COMPUTED_VALUE"""),"DESCENDENTE")</f>
        <v>DESCENDENTE</v>
      </c>
      <c r="E12" s="46" t="str">
        <f ca="1">IFERROR(__xludf.DUMMYFUNCTION("""COMPUTED_VALUE"""),"BITACORA OPERATIVA")</f>
        <v>BITACORA OPERATIVA</v>
      </c>
      <c r="F12" s="48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IFERROR(__xludf.DUMMYFUNCTION("""COMPUTED_VALUE"""),"SANCIONES RELACIONADAS A LA CONTAMINACIÓN AUDITIVA")</f>
        <v>SANCIONES RELACIONADAS A LA CONTAMINACIÓN AUDITIVA</v>
      </c>
      <c r="B13" s="46">
        <f ca="1">IFERROR(__xludf.DUMMYFUNCTION("""COMPUTED_VALUE"""),1)</f>
        <v>1</v>
      </c>
      <c r="C13" s="46" t="str">
        <f ca="1">IFERROR(__xludf.DUMMYFUNCTION("""COMPUTED_VALUE"""),"PERSONAS SANCIONADAS")</f>
        <v>PERSONAS SANCIONADAS</v>
      </c>
      <c r="D13" s="46" t="str">
        <f ca="1">IFERROR(__xludf.DUMMYFUNCTION("""COMPUTED_VALUE"""),"DESCENDENTE")</f>
        <v>DESCENDENTE</v>
      </c>
      <c r="E13" s="46" t="str">
        <f ca="1">IFERROR(__xludf.DUMMYFUNCTION("""COMPUTED_VALUE"""),"BITACORA OPERATIVA")</f>
        <v>BITACORA OPERATIVA</v>
      </c>
      <c r="F13" s="48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IFERROR(__xludf.DUMMYFUNCTION("""COMPUTED_VALUE"""),"OTRAS INFRACCIONES RELACIONADAS AL DESORDEN EN LA CONVIVENCIA SOCIAL")</f>
        <v>OTRAS INFRACCIONES RELACIONADAS AL DESORDEN EN LA CONVIVENCIA SOCIAL</v>
      </c>
      <c r="B14" s="46">
        <f ca="1">IFERROR(__xludf.DUMMYFUNCTION("""COMPUTED_VALUE"""),1)</f>
        <v>1</v>
      </c>
      <c r="C14" s="46" t="str">
        <f ca="1">IFERROR(__xludf.DUMMYFUNCTION("""COMPUTED_VALUE"""),"PERSONAS SANCIONADAS")</f>
        <v>PERSONAS SANCIONADAS</v>
      </c>
      <c r="D14" s="46" t="str">
        <f ca="1">IFERROR(__xludf.DUMMYFUNCTION("""COMPUTED_VALUE"""),"DESCENDENTE")</f>
        <v>DESCENDENTE</v>
      </c>
      <c r="E14" s="46" t="str">
        <f ca="1">IFERROR(__xludf.DUMMYFUNCTION("""COMPUTED_VALUE"""),"BITACORA OPERATIVA")</f>
        <v>BITACORA OPERATIVA</v>
      </c>
      <c r="F14" s="48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IFERROR(__xludf.DUMMYFUNCTION("""COMPUTED_VALUE"""),"SANCIONES POR ALTERAR EL ORDEN PUBLICO")</f>
        <v>SANCIONES POR ALTERAR EL ORDEN PUBLICO</v>
      </c>
      <c r="B15" s="46">
        <f ca="1">IFERROR(__xludf.DUMMYFUNCTION("""COMPUTED_VALUE"""),1)</f>
        <v>1</v>
      </c>
      <c r="C15" s="46" t="str">
        <f ca="1">IFERROR(__xludf.DUMMYFUNCTION("""COMPUTED_VALUE"""),"PERSONAS SANCIONADAS")</f>
        <v>PERSONAS SANCIONADAS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8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IFERROR(__xludf.DUMMYFUNCTION("""COMPUTED_VALUE"""),"POSESIÓN SIMPLE")</f>
        <v>POSESIÓN SIMPLE</v>
      </c>
      <c r="B16" s="46">
        <f ca="1">IFERROR(__xludf.DUMMYFUNCTION("""COMPUTED_VALUE"""),1)</f>
        <v>1</v>
      </c>
      <c r="C16" s="46" t="str">
        <f ca="1">IFERROR(__xludf.DUMMYFUNCTION("""COMPUTED_VALUE"""),"PERSONAS SANCIONADAS")</f>
        <v>PERSONAS SANCIONADAS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8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IFERROR(__xludf.DUMMYFUNCTION("""COMPUTED_VALUE"""),"POSESIÓN CON FINES DE COMERCIO O SUMINISTRO")</f>
        <v>POSESIÓN CON FINES DE COMERCIO O SUMINISTRO</v>
      </c>
      <c r="B17" s="46">
        <f ca="1">IFERROR(__xludf.DUMMYFUNCTION("""COMPUTED_VALUE"""),1)</f>
        <v>1</v>
      </c>
      <c r="C17" s="46" t="str">
        <f ca="1">IFERROR(__xludf.DUMMYFUNCTION("""COMPUTED_VALUE"""),"PERSONAS SANCIONADAS")</f>
        <v>PERSONAS SANCIONADAS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8">
        <f ca="1">IFERROR(__xludf.DUMMYFUNCTION("""COMPUTED_VALUE"""),0)</f>
        <v>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IFERROR(__xludf.DUMMYFUNCTION("""COMPUTED_VALUE"""),0)</f>
        <v>0</v>
      </c>
    </row>
    <row r="18" spans="1:19">
      <c r="A18" s="46" t="str">
        <f ca="1">IFERROR(__xludf.DUMMYFUNCTION("""COMPUTED_VALUE"""),"OTROS DELITOS CONTRA LA SALUD RELACIONADOS CON NARCOMENUDEO EN SU MODALIDAD DE NARCOMENUDEO")</f>
        <v>OTROS DELITOS CONTRA LA SALUD RELACIONADOS CON NARCOMENUDEO EN SU MODALIDAD DE NARCOMENUDEO</v>
      </c>
      <c r="B18" s="46">
        <f ca="1">IFERROR(__xludf.DUMMYFUNCTION("""COMPUTED_VALUE"""),1)</f>
        <v>1</v>
      </c>
      <c r="C18" s="46" t="str">
        <f ca="1">IFERROR(__xludf.DUMMYFUNCTION("""COMPUTED_VALUE"""),"PERSONAS SANCIONADAS")</f>
        <v>PERSONAS SANCIONADAS</v>
      </c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8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IFERROR(__xludf.DUMMYFUNCTION("""COMPUTED_VALUE"""),"DELITOS DEL FUERO COMÚN")</f>
        <v>DELITOS DEL FUERO COMÚN</v>
      </c>
      <c r="B19" s="46">
        <f ca="1">IFERROR(__xludf.DUMMYFUNCTION("""COMPUTED_VALUE"""),1)</f>
        <v>1</v>
      </c>
      <c r="C19" s="46" t="str">
        <f ca="1">IFERROR(__xludf.DUMMYFUNCTION("""COMPUTED_VALUE"""),"PERSONAS SANCIONADAS")</f>
        <v>PERSONAS SANCIONADAS</v>
      </c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8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 t="str">
        <f ca="1">IFERROR(__xludf.DUMMYFUNCTION("""COMPUTED_VALUE"""),"HOMICIDIO")</f>
        <v>HOMICIDIO</v>
      </c>
      <c r="B20" s="46">
        <f ca="1">IFERROR(__xludf.DUMMYFUNCTION("""COMPUTED_VALUE"""),1)</f>
        <v>1</v>
      </c>
      <c r="C20" s="46" t="str">
        <f ca="1">IFERROR(__xludf.DUMMYFUNCTION("""COMPUTED_VALUE"""),"HOMICIDIOS")</f>
        <v>HOMICIDIOS</v>
      </c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8">
        <f ca="1">IFERROR(__xludf.DUMMYFUNCTION("""COMPUTED_VALUE"""),0)</f>
        <v>0</v>
      </c>
      <c r="G20" s="48">
        <f ca="1">IFERROR(__xludf.DUMMYFUNCTION("""COMPUTED_VALUE"""),0)</f>
        <v>0</v>
      </c>
      <c r="H20" s="48">
        <f ca="1">IFERROR(__xludf.DUMMYFUNCTION("""COMPUTED_VALUE"""),0)</f>
        <v>0</v>
      </c>
      <c r="I20" s="48">
        <f ca="1">IFERROR(__xludf.DUMMYFUNCTION("""COMPUTED_VALUE"""),0)</f>
        <v>0</v>
      </c>
      <c r="J20" s="48">
        <f ca="1">IFERROR(__xludf.DUMMYFUNCTION("""COMPUTED_VALUE"""),0)</f>
        <v>0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IFERROR(__xludf.DUMMYFUNCTION("""COMPUTED_VALUE"""),0)</f>
        <v>0</v>
      </c>
    </row>
    <row r="21" spans="1:19">
      <c r="A21" s="46" t="str">
        <f ca="1">IFERROR(__xludf.DUMMYFUNCTION("""COMPUTED_VALUE"""),"SUICIDIO")</f>
        <v>SUICIDIO</v>
      </c>
      <c r="B21" s="46">
        <f ca="1">IFERROR(__xludf.DUMMYFUNCTION("""COMPUTED_VALUE"""),1)</f>
        <v>1</v>
      </c>
      <c r="C21" s="46" t="str">
        <f ca="1">IFERROR(__xludf.DUMMYFUNCTION("""COMPUTED_VALUE"""),"SUICIDIOS")</f>
        <v>SUICIDIOS</v>
      </c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8">
        <f ca="1">IFERROR(__xludf.DUMMYFUNCTION("""COMPUTED_VALUE"""),0)</f>
        <v>0</v>
      </c>
      <c r="G21" s="48">
        <f ca="1">IFERROR(__xludf.DUMMYFUNCTION("""COMPUTED_VALUE"""),0)</f>
        <v>0</v>
      </c>
      <c r="H21" s="48">
        <f ca="1">IFERROR(__xludf.DUMMYFUNCTION("""COMPUTED_VALUE"""),0)</f>
        <v>0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IFERROR(__xludf.DUMMYFUNCTION("""COMPUTED_VALUE"""),0)</f>
        <v>0</v>
      </c>
    </row>
    <row r="22" spans="1:19">
      <c r="A22" s="46" t="str">
        <f ca="1">IFERROR(__xludf.DUMMYFUNCTION("""COMPUTED_VALUE"""),"OTROS DELITOS RELACIONADOS CON LA VIDA Y LA INTEGRIDAD FISICA CORPORAL")</f>
        <v>OTROS DELITOS RELACIONADOS CON LA VIDA Y LA INTEGRIDAD FISICA CORPORAL</v>
      </c>
      <c r="B22" s="46">
        <f ca="1">IFERROR(__xludf.DUMMYFUNCTION("""COMPUTED_VALUE"""),1)</f>
        <v>1</v>
      </c>
      <c r="C22" s="46" t="str">
        <f ca="1">IFERROR(__xludf.DUMMYFUNCTION("""COMPUTED_VALUE"""),"OTROS DELITOS")</f>
        <v>OTROS DELITOS</v>
      </c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8">
        <f ca="1">IFERROR(__xludf.DUMMYFUNCTION("""COMPUTED_VALUE"""),0)</f>
        <v>0</v>
      </c>
      <c r="G22" s="48">
        <f ca="1">IFERROR(__xludf.DUMMYFUNCTION("""COMPUTED_VALUE"""),0)</f>
        <v>0</v>
      </c>
      <c r="H22" s="48">
        <f ca="1">IFERROR(__xludf.DUMMYFUNCTION("""COMPUTED_VALUE"""),0)</f>
        <v>0</v>
      </c>
      <c r="I22" s="48">
        <f ca="1">IFERROR(__xludf.DUMMYFUNCTION("""COMPUTED_VALUE"""),0)</f>
        <v>0</v>
      </c>
      <c r="J22" s="48">
        <f ca="1">IFERROR(__xludf.DUMMYFUNCTION("""COMPUTED_VALUE"""),0)</f>
        <v>0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IFERROR(__xludf.DUMMYFUNCTION("""COMPUTED_VALUE"""),0)</f>
        <v>0</v>
      </c>
      <c r="N22" s="48">
        <f ca="1">IFERROR(__xludf.DUMMYFUNCTION("""COMPUTED_VALUE"""),0)</f>
        <v>0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IFERROR(__xludf.DUMMYFUNCTION("""COMPUTED_VALUE"""),0)</f>
        <v>0</v>
      </c>
    </row>
    <row r="23" spans="1:19">
      <c r="A23" s="46" t="str">
        <f ca="1">IFERROR(__xludf.DUMMYFUNCTION("""COMPUTED_VALUE"""),"DESAPARICIÓN FORZADA")</f>
        <v>DESAPARICIÓN FORZADA</v>
      </c>
      <c r="B23" s="46">
        <f ca="1">IFERROR(__xludf.DUMMYFUNCTION("""COMPUTED_VALUE"""),1)</f>
        <v>1</v>
      </c>
      <c r="C23" s="46" t="str">
        <f ca="1">IFERROR(__xludf.DUMMYFUNCTION("""COMPUTED_VALUE"""),"DESAPARICIONES FORZADAS")</f>
        <v>DESAPARICIONES FORZADAS</v>
      </c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8">
        <f ca="1">IFERROR(__xludf.DUMMYFUNCTION("""COMPUTED_VALUE"""),2100)</f>
        <v>2100</v>
      </c>
      <c r="G23" s="48">
        <f ca="1">IFERROR(__xludf.DUMMYFUNCTION("""COMPUTED_VALUE"""),3)</f>
        <v>3</v>
      </c>
      <c r="H23" s="48">
        <f ca="1">IFERROR(__xludf.DUMMYFUNCTION("""COMPUTED_VALUE"""),2)</f>
        <v>2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IFERROR(__xludf.DUMMYFUNCTION("""COMPUTED_VALUE"""),3)</f>
        <v>3</v>
      </c>
      <c r="N23" s="48">
        <f ca="1">IFERROR(__xludf.DUMMYFUNCTION("""COMPUTED_VALUE"""),5)</f>
        <v>5</v>
      </c>
      <c r="O23" s="48">
        <f ca="1">IFERROR(__xludf.DUMMYFUNCTION("""COMPUTED_VALUE"""),1)</f>
        <v>1</v>
      </c>
      <c r="P23" s="48">
        <f ca="1">IFERROR(__xludf.DUMMYFUNCTION("""COMPUTED_VALUE"""),5)</f>
        <v>5</v>
      </c>
      <c r="Q23" s="48">
        <f ca="1">IFERROR(__xludf.DUMMYFUNCTION("""COMPUTED_VALUE"""),1)</f>
        <v>1</v>
      </c>
      <c r="R23" s="48">
        <f ca="1">IFERROR(__xludf.DUMMYFUNCTION("""COMPUTED_VALUE"""),1)</f>
        <v>1</v>
      </c>
      <c r="S23" s="48">
        <f ca="1">IFERROR(__xludf.DUMMYFUNCTION("""COMPUTED_VALUE"""),21)</f>
        <v>21</v>
      </c>
    </row>
    <row r="24" spans="1:19">
      <c r="A24" s="46" t="str">
        <f ca="1">IFERROR(__xludf.DUMMYFUNCTION("""COMPUTED_VALUE"""),"PRIVACIÓN DE LA LIBERTAD")</f>
        <v>PRIVACIÓN DE LA LIBERTAD</v>
      </c>
      <c r="B24" s="46">
        <f ca="1">IFERROR(__xludf.DUMMYFUNCTION("""COMPUTED_VALUE"""),1)</f>
        <v>1</v>
      </c>
      <c r="C24" s="46" t="str">
        <f ca="1">IFERROR(__xludf.DUMMYFUNCTION("""COMPUTED_VALUE"""),"PRIVACION DE LA LIBERTAD")</f>
        <v>PRIVACION DE LA LIBERTAD</v>
      </c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8">
        <f ca="1">IFERROR(__xludf.DUMMYFUNCTION("""COMPUTED_VALUE"""),0)</f>
        <v>0</v>
      </c>
      <c r="G24" s="48">
        <f ca="1">IFERROR(__xludf.DUMMYFUNCTION("""COMPUTED_VALUE"""),0)</f>
        <v>0</v>
      </c>
      <c r="H24" s="48">
        <f ca="1">IFERROR(__xludf.DUMMYFUNCTION("""COMPUTED_VALUE"""),0)</f>
        <v>0</v>
      </c>
      <c r="I24" s="48">
        <f ca="1">IFERROR(__xludf.DUMMYFUNCTION("""COMPUTED_VALUE"""),0)</f>
        <v>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IFERROR(__xludf.DUMMYFUNCTION("""COMPUTED_VALUE"""),0)</f>
        <v>0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IFERROR(__xludf.DUMMYFUNCTION("""COMPUTED_VALUE"""),0)</f>
        <v>0</v>
      </c>
    </row>
    <row r="25" spans="1:19">
      <c r="A25" s="46" t="str">
        <f ca="1">IFERROR(__xludf.DUMMYFUNCTION("""COMPUTED_VALUE"""),"OTROS DELITOS RELACIONADOS CON LA LIBERTAD PERSONAL")</f>
        <v>OTROS DELITOS RELACIONADOS CON LA LIBERTAD PERSONAL</v>
      </c>
      <c r="B25" s="46">
        <f ca="1">IFERROR(__xludf.DUMMYFUNCTION("""COMPUTED_VALUE"""),1)</f>
        <v>1</v>
      </c>
      <c r="C25" s="46" t="str">
        <f ca="1">IFERROR(__xludf.DUMMYFUNCTION("""COMPUTED_VALUE"""),"OTRO DELITOS")</f>
        <v>OTRO DELITOS</v>
      </c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8">
        <f ca="1">IFERROR(__xludf.DUMMYFUNCTION("""COMPUTED_VALUE"""),0)</f>
        <v>0</v>
      </c>
      <c r="G25" s="48">
        <f ca="1">IFERROR(__xludf.DUMMYFUNCTION("""COMPUTED_VALUE"""),0)</f>
        <v>0</v>
      </c>
      <c r="H25" s="48">
        <f ca="1">IFERROR(__xludf.DUMMYFUNCTION("""COMPUTED_VALUE"""),0)</f>
        <v>0</v>
      </c>
      <c r="I25" s="48">
        <f ca="1">IFERROR(__xludf.DUMMYFUNCTION("""COMPUTED_VALUE"""),0)</f>
        <v>0</v>
      </c>
      <c r="J25" s="48">
        <f ca="1">IFERROR(__xludf.DUMMYFUNCTION("""COMPUTED_VALUE"""),0)</f>
        <v>0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IFERROR(__xludf.DUMMYFUNCTION("""COMPUTED_VALUE"""),0)</f>
        <v>0</v>
      </c>
    </row>
    <row r="26" spans="1:19">
      <c r="A26" s="46" t="str">
        <f ca="1">IFERROR(__xludf.DUMMYFUNCTION("""COMPUTED_VALUE"""),"ABUSO SEXUAL")</f>
        <v>ABUSO SEXUAL</v>
      </c>
      <c r="B26" s="46">
        <f ca="1">IFERROR(__xludf.DUMMYFUNCTION("""COMPUTED_VALUE"""),4)</f>
        <v>4</v>
      </c>
      <c r="C26" s="46" t="str">
        <f ca="1">IFERROR(__xludf.DUMMYFUNCTION("""COMPUTED_VALUE"""),"ABUSOS SEXUALES")</f>
        <v>ABUSOS SEXUALES</v>
      </c>
      <c r="D26" s="46" t="str">
        <f ca="1">IFERROR(__xludf.DUMMYFUNCTION("""COMPUTED_VALUE"""),"DESCENDENTE")</f>
        <v>DESCENDENTE</v>
      </c>
      <c r="E26" s="46" t="str">
        <f ca="1">IFERROR(__xludf.DUMMYFUNCTION("""COMPUTED_VALUE"""),"BITACORA OPERATIVA")</f>
        <v>BITACORA OPERATIVA</v>
      </c>
      <c r="F26" s="48">
        <f ca="1">IFERROR(__xludf.DUMMYFUNCTION("""COMPUTED_VALUE"""),125)</f>
        <v>125</v>
      </c>
      <c r="G26" s="48">
        <f ca="1">IFERROR(__xludf.DUMMYFUNCTION("""COMPUTED_VALUE"""),0)</f>
        <v>0</v>
      </c>
      <c r="H26" s="48">
        <f ca="1">IFERROR(__xludf.DUMMYFUNCTION("""COMPUTED_VALUE"""),0)</f>
        <v>0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IFERROR(__xludf.DUMMYFUNCTION("""COMPUTED_VALUE"""),1)</f>
        <v>1</v>
      </c>
      <c r="L26" s="48">
        <f ca="1">IFERROR(__xludf.DUMMYFUNCTION("""COMPUTED_VALUE"""),0)</f>
        <v>0</v>
      </c>
      <c r="M26" s="48">
        <f ca="1">IFERROR(__xludf.DUMMYFUNCTION("""COMPUTED_VALUE"""),0)</f>
        <v>0</v>
      </c>
      <c r="N26" s="48">
        <f ca="1">IFERROR(__xludf.DUMMYFUNCTION("""COMPUTED_VALUE"""),1)</f>
        <v>1</v>
      </c>
      <c r="O26" s="48">
        <f ca="1">IFERROR(__xludf.DUMMYFUNCTION("""COMPUTED_VALUE"""),0)</f>
        <v>0</v>
      </c>
      <c r="P26" s="48">
        <f ca="1">IFERROR(__xludf.DUMMYFUNCTION("""COMPUTED_VALUE"""),1)</f>
        <v>1</v>
      </c>
      <c r="Q26" s="48">
        <f ca="1">IFERROR(__xludf.DUMMYFUNCTION("""COMPUTED_VALUE"""),2)</f>
        <v>2</v>
      </c>
      <c r="R26" s="48">
        <f ca="1">IFERROR(__xludf.DUMMYFUNCTION("""COMPUTED_VALUE"""),0)</f>
        <v>0</v>
      </c>
      <c r="S26" s="48">
        <f ca="1">IFERROR(__xludf.DUMMYFUNCTION("""COMPUTED_VALUE"""),5)</f>
        <v>5</v>
      </c>
    </row>
    <row r="27" spans="1:19">
      <c r="A27" s="46" t="str">
        <f ca="1">IFERROR(__xludf.DUMMYFUNCTION("""COMPUTED_VALUE"""),"VIOLACIÓN")</f>
        <v>VIOLACIÓN</v>
      </c>
      <c r="B27" s="46">
        <f ca="1">IFERROR(__xludf.DUMMYFUNCTION("""COMPUTED_VALUE"""),4)</f>
        <v>4</v>
      </c>
      <c r="C27" s="46" t="str">
        <f ca="1">IFERROR(__xludf.DUMMYFUNCTION("""COMPUTED_VALUE"""),"VIOLACIONES")</f>
        <v>VIOLACIONES</v>
      </c>
      <c r="D27" s="46" t="str">
        <f ca="1">IFERROR(__xludf.DUMMYFUNCTION("""COMPUTED_VALUE"""),"DESCENDENTE")</f>
        <v>DESCENDENTE</v>
      </c>
      <c r="E27" s="46" t="str">
        <f ca="1">IFERROR(__xludf.DUMMYFUNCTION("""COMPUTED_VALUE"""),"BITACORA OPERATIVA")</f>
        <v>BITACORA OPERATIVA</v>
      </c>
      <c r="F27" s="48">
        <f ca="1">IFERROR(__xludf.DUMMYFUNCTION("""COMPUTED_VALUE"""),50)</f>
        <v>50</v>
      </c>
      <c r="G27" s="48">
        <f ca="1">IFERROR(__xludf.DUMMYFUNCTION("""COMPUTED_VALUE"""),0)</f>
        <v>0</v>
      </c>
      <c r="H27" s="48">
        <f ca="1">IFERROR(__xludf.DUMMYFUNCTION("""COMPUTED_VALUE"""),0)</f>
        <v>0</v>
      </c>
      <c r="I27" s="48">
        <f ca="1">IFERROR(__xludf.DUMMYFUNCTION("""COMPUTED_VALUE"""),1)</f>
        <v>1</v>
      </c>
      <c r="J27" s="48">
        <f ca="1">IFERROR(__xludf.DUMMYFUNCTION("""COMPUTED_VALUE"""),1)</f>
        <v>1</v>
      </c>
      <c r="K27" s="48">
        <f ca="1">IFERROR(__xludf.DUMMYFUNCTION("""COMPUTED_VALUE"""),0)</f>
        <v>0</v>
      </c>
      <c r="L27" s="48">
        <f ca="1">IFERROR(__xludf.DUMMYFUNCTION("""COMPUTED_VALUE"""),0)</f>
        <v>0</v>
      </c>
      <c r="M27" s="48">
        <f ca="1">IFERROR(__xludf.DUMMYFUNCTION("""COMPUTED_VALUE"""),0)</f>
        <v>0</v>
      </c>
      <c r="N27" s="48">
        <f ca="1">IFERROR(__xludf.DUMMYFUNCTION("""COMPUTED_VALUE"""),0)</f>
        <v>0</v>
      </c>
      <c r="O27" s="48">
        <f ca="1">IFERROR(__xludf.DUMMYFUNCTION("""COMPUTED_VALUE"""),0)</f>
        <v>0</v>
      </c>
      <c r="P27" s="48">
        <f ca="1">IFERROR(__xludf.DUMMYFUNCTION("""COMPUTED_VALUE"""),0)</f>
        <v>0</v>
      </c>
      <c r="Q27" s="48">
        <f ca="1">IFERROR(__xludf.DUMMYFUNCTION("""COMPUTED_VALUE"""),0)</f>
        <v>0</v>
      </c>
      <c r="R27" s="48">
        <f ca="1">IFERROR(__xludf.DUMMYFUNCTION("""COMPUTED_VALUE"""),0)</f>
        <v>0</v>
      </c>
      <c r="S27" s="48">
        <f ca="1">IFERROR(__xludf.DUMMYFUNCTION("""COMPUTED_VALUE"""),2)</f>
        <v>2</v>
      </c>
    </row>
    <row r="28" spans="1:19">
      <c r="A28" s="46" t="str">
        <f ca="1">IFERROR(__xludf.DUMMYFUNCTION("""COMPUTED_VALUE"""),"OTROS DELITOS QUE ATENTEN CONTRA LA LIBERTAD Y SEGURIDAD SEXUAL")</f>
        <v>OTROS DELITOS QUE ATENTEN CONTRA LA LIBERTAD Y SEGURIDAD SEXUAL</v>
      </c>
      <c r="B28" s="46">
        <f ca="1">IFERROR(__xludf.DUMMYFUNCTION("""COMPUTED_VALUE"""),1)</f>
        <v>1</v>
      </c>
      <c r="C28" s="46" t="str">
        <f ca="1">IFERROR(__xludf.DUMMYFUNCTION("""COMPUTED_VALUE"""),"OTROS DELITOS")</f>
        <v>OTROS DELITOS</v>
      </c>
      <c r="D28" s="46" t="str">
        <f ca="1">IFERROR(__xludf.DUMMYFUNCTION("""COMPUTED_VALUE"""),"DESCENDENTE")</f>
        <v>DESCENDENTE</v>
      </c>
      <c r="E28" s="46" t="str">
        <f ca="1">IFERROR(__xludf.DUMMYFUNCTION("""COMPUTED_VALUE"""),"BITACORA OPERATIVA")</f>
        <v>BITACORA OPERATIVA</v>
      </c>
      <c r="F28" s="48">
        <f ca="1">IFERROR(__xludf.DUMMYFUNCTION("""COMPUTED_VALUE"""),0)</f>
        <v>0</v>
      </c>
      <c r="G28" s="48">
        <f ca="1">IFERROR(__xludf.DUMMYFUNCTION("""COMPUTED_VALUE"""),0)</f>
        <v>0</v>
      </c>
      <c r="H28" s="48">
        <f ca="1">IFERROR(__xludf.DUMMYFUNCTION("""COMPUTED_VALUE"""),0)</f>
        <v>0</v>
      </c>
      <c r="I28" s="48">
        <f ca="1">IFERROR(__xludf.DUMMYFUNCTION("""COMPUTED_VALUE"""),0)</f>
        <v>0</v>
      </c>
      <c r="J28" s="48">
        <f ca="1">IFERROR(__xludf.DUMMYFUNCTION("""COMPUTED_VALUE"""),0)</f>
        <v>0</v>
      </c>
      <c r="K28" s="48">
        <f ca="1">IFERROR(__xludf.DUMMYFUNCTION("""COMPUTED_VALUE"""),0)</f>
        <v>0</v>
      </c>
      <c r="L28" s="48">
        <f ca="1">IFERROR(__xludf.DUMMYFUNCTION("""COMPUTED_VALUE"""),0)</f>
        <v>0</v>
      </c>
      <c r="M28" s="48">
        <f ca="1">IFERROR(__xludf.DUMMYFUNCTION("""COMPUTED_VALUE"""),0)</f>
        <v>0</v>
      </c>
      <c r="N28" s="48">
        <f ca="1">IFERROR(__xludf.DUMMYFUNCTION("""COMPUTED_VALUE"""),0)</f>
        <v>0</v>
      </c>
      <c r="O28" s="48">
        <f ca="1">IFERROR(__xludf.DUMMYFUNCTION("""COMPUTED_VALUE"""),0)</f>
        <v>0</v>
      </c>
      <c r="P28" s="48">
        <f ca="1">IFERROR(__xludf.DUMMYFUNCTION("""COMPUTED_VALUE"""),0)</f>
        <v>0</v>
      </c>
      <c r="Q28" s="48">
        <f ca="1">IFERROR(__xludf.DUMMYFUNCTION("""COMPUTED_VALUE"""),0)</f>
        <v>0</v>
      </c>
      <c r="R28" s="48">
        <f ca="1">IFERROR(__xludf.DUMMYFUNCTION("""COMPUTED_VALUE"""),0)</f>
        <v>0</v>
      </c>
      <c r="S28" s="48">
        <f ca="1">IFERROR(__xludf.DUMMYFUNCTION("""COMPUTED_VALUE"""),0)</f>
        <v>0</v>
      </c>
    </row>
    <row r="29" spans="1:19">
      <c r="A29" s="46" t="str">
        <f ca="1">IFERROR(__xludf.DUMMYFUNCTION("""COMPUTED_VALUE"""),"ROBO SIMPLE")</f>
        <v>ROBO SIMPLE</v>
      </c>
      <c r="B29" s="46">
        <f ca="1">IFERROR(__xludf.DUMMYFUNCTION("""COMPUTED_VALUE"""),1)</f>
        <v>1</v>
      </c>
      <c r="C29" s="46" t="str">
        <f ca="1">IFERROR(__xludf.DUMMYFUNCTION("""COMPUTED_VALUE"""),"ROBOS SIMPLES")</f>
        <v>ROBOS SIMPLES</v>
      </c>
      <c r="D29" s="46" t="str">
        <f ca="1">IFERROR(__xludf.DUMMYFUNCTION("""COMPUTED_VALUE"""),"DESCENDENTE")</f>
        <v>DESCENDENTE</v>
      </c>
      <c r="E29" s="46" t="str">
        <f ca="1">IFERROR(__xludf.DUMMYFUNCTION("""COMPUTED_VALUE"""),"BITACORA OPERATIVA")</f>
        <v>BITACORA OPERATIVA</v>
      </c>
      <c r="F29" s="48">
        <f ca="1">IFERROR(__xludf.DUMMYFUNCTION("""COMPUTED_VALUE"""),100)</f>
        <v>100</v>
      </c>
      <c r="G29" s="48">
        <f ca="1">IFERROR(__xludf.DUMMYFUNCTION("""COMPUTED_VALUE"""),0)</f>
        <v>0</v>
      </c>
      <c r="H29" s="48">
        <f ca="1">IFERROR(__xludf.DUMMYFUNCTION("""COMPUTED_VALUE"""),0)</f>
        <v>0</v>
      </c>
      <c r="I29" s="48">
        <f ca="1">IFERROR(__xludf.DUMMYFUNCTION("""COMPUTED_VALUE"""),0)</f>
        <v>0</v>
      </c>
      <c r="J29" s="48">
        <f ca="1">IFERROR(__xludf.DUMMYFUNCTION("""COMPUTED_VALUE"""),0)</f>
        <v>0</v>
      </c>
      <c r="K29" s="48">
        <f ca="1">IFERROR(__xludf.DUMMYFUNCTION("""COMPUTED_VALUE"""),0)</f>
        <v>0</v>
      </c>
      <c r="L29" s="48">
        <f ca="1">IFERROR(__xludf.DUMMYFUNCTION("""COMPUTED_VALUE"""),0)</f>
        <v>0</v>
      </c>
      <c r="M29" s="48">
        <f ca="1">IFERROR(__xludf.DUMMYFUNCTION("""COMPUTED_VALUE"""),0)</f>
        <v>0</v>
      </c>
      <c r="N29" s="48">
        <f ca="1">IFERROR(__xludf.DUMMYFUNCTION("""COMPUTED_VALUE"""),0)</f>
        <v>0</v>
      </c>
      <c r="O29" s="48">
        <f ca="1">IFERROR(__xludf.DUMMYFUNCTION("""COMPUTED_VALUE"""),0)</f>
        <v>0</v>
      </c>
      <c r="P29" s="48">
        <f ca="1">IFERROR(__xludf.DUMMYFUNCTION("""COMPUTED_VALUE"""),0)</f>
        <v>0</v>
      </c>
      <c r="Q29" s="48">
        <f ca="1">IFERROR(__xludf.DUMMYFUNCTION("""COMPUTED_VALUE"""),1)</f>
        <v>1</v>
      </c>
      <c r="R29" s="48">
        <f ca="1">IFERROR(__xludf.DUMMYFUNCTION("""COMPUTED_VALUE"""),0)</f>
        <v>0</v>
      </c>
      <c r="S29" s="48">
        <f ca="1">IFERROR(__xludf.DUMMYFUNCTION("""COMPUTED_VALUE"""),1)</f>
        <v>1</v>
      </c>
    </row>
    <row r="30" spans="1:19">
      <c r="A30" s="46" t="str">
        <f ca="1">IFERROR(__xludf.DUMMYFUNCTION("""COMPUTED_VALUE"""),"ROBO A CASA HABITACIÓN")</f>
        <v>ROBO A CASA HABITACIÓN</v>
      </c>
      <c r="B30" s="46">
        <f ca="1">IFERROR(__xludf.DUMMYFUNCTION("""COMPUTED_VALUE"""),1)</f>
        <v>1</v>
      </c>
      <c r="C30" s="46" t="str">
        <f ca="1">IFERROR(__xludf.DUMMYFUNCTION("""COMPUTED_VALUE"""),"ROBOS A CASA HABITACION")</f>
        <v>ROBOS A CASA HABITACION</v>
      </c>
      <c r="D30" s="46" t="str">
        <f ca="1">IFERROR(__xludf.DUMMYFUNCTION("""COMPUTED_VALUE"""),"DESCENDENTE")</f>
        <v>DESCENDENTE</v>
      </c>
      <c r="E30" s="46" t="str">
        <f ca="1">IFERROR(__xludf.DUMMYFUNCTION("""COMPUTED_VALUE"""),"BITACORA OPERATIVA")</f>
        <v>BITACORA OPERATIVA</v>
      </c>
      <c r="F30" s="48">
        <f ca="1">IFERROR(__xludf.DUMMYFUNCTION("""COMPUTED_VALUE"""),400)</f>
        <v>400</v>
      </c>
      <c r="G30" s="48">
        <f ca="1">IFERROR(__xludf.DUMMYFUNCTION("""COMPUTED_VALUE"""),0)</f>
        <v>0</v>
      </c>
      <c r="H30" s="48">
        <f ca="1">IFERROR(__xludf.DUMMYFUNCTION("""COMPUTED_VALUE"""),0)</f>
        <v>0</v>
      </c>
      <c r="I30" s="48">
        <f ca="1">IFERROR(__xludf.DUMMYFUNCTION("""COMPUTED_VALUE"""),0)</f>
        <v>0</v>
      </c>
      <c r="J30" s="48">
        <f ca="1">IFERROR(__xludf.DUMMYFUNCTION("""COMPUTED_VALUE"""),0)</f>
        <v>0</v>
      </c>
      <c r="K30" s="48">
        <f ca="1">IFERROR(__xludf.DUMMYFUNCTION("""COMPUTED_VALUE"""),0)</f>
        <v>0</v>
      </c>
      <c r="L30" s="48">
        <f ca="1">IFERROR(__xludf.DUMMYFUNCTION("""COMPUTED_VALUE"""),0)</f>
        <v>0</v>
      </c>
      <c r="M30" s="48">
        <f ca="1">IFERROR(__xludf.DUMMYFUNCTION("""COMPUTED_VALUE"""),2)</f>
        <v>2</v>
      </c>
      <c r="N30" s="48">
        <f ca="1">IFERROR(__xludf.DUMMYFUNCTION("""COMPUTED_VALUE"""),1)</f>
        <v>1</v>
      </c>
      <c r="O30" s="48">
        <f ca="1">IFERROR(__xludf.DUMMYFUNCTION("""COMPUTED_VALUE"""),1)</f>
        <v>1</v>
      </c>
      <c r="P30" s="48">
        <f ca="1">IFERROR(__xludf.DUMMYFUNCTION("""COMPUTED_VALUE"""),0)</f>
        <v>0</v>
      </c>
      <c r="Q30" s="48">
        <f ca="1">IFERROR(__xludf.DUMMYFUNCTION("""COMPUTED_VALUE"""),0)</f>
        <v>0</v>
      </c>
      <c r="R30" s="48">
        <f ca="1">IFERROR(__xludf.DUMMYFUNCTION("""COMPUTED_VALUE"""),0)</f>
        <v>0</v>
      </c>
      <c r="S30" s="48">
        <f ca="1">IFERROR(__xludf.DUMMYFUNCTION("""COMPUTED_VALUE"""),4)</f>
        <v>4</v>
      </c>
    </row>
    <row r="31" spans="1:19">
      <c r="A31" s="46" t="str">
        <f ca="1">IFERROR(__xludf.DUMMYFUNCTION("""COMPUTED_VALUE"""),"ROBO A MOTOCICLETA")</f>
        <v>ROBO A MOTOCICLETA</v>
      </c>
      <c r="B31" s="46">
        <f ca="1">IFERROR(__xludf.DUMMYFUNCTION("""COMPUTED_VALUE"""),60)</f>
        <v>60</v>
      </c>
      <c r="C31" s="46" t="str">
        <f ca="1">IFERROR(__xludf.DUMMYFUNCTION("""COMPUTED_VALUE"""),"ROBO A MOTOCICLETAS")</f>
        <v>ROBO A MOTOCICLETAS</v>
      </c>
      <c r="D31" s="46" t="str">
        <f ca="1">IFERROR(__xludf.DUMMYFUNCTION("""COMPUTED_VALUE"""),"DESCENDENTE")</f>
        <v>DESCENDENTE</v>
      </c>
      <c r="E31" s="46" t="str">
        <f ca="1">IFERROR(__xludf.DUMMYFUNCTION("""COMPUTED_VALUE"""),"BITACORA OPERATIVA")</f>
        <v>BITACORA OPERATIVA</v>
      </c>
      <c r="F31" s="48">
        <f ca="1">IFERROR(__xludf.DUMMYFUNCTION("""COMPUTED_VALUE"""),114.999999999999)</f>
        <v>114.99999999999901</v>
      </c>
      <c r="G31" s="48">
        <f ca="1">IFERROR(__xludf.DUMMYFUNCTION("""COMPUTED_VALUE"""),10)</f>
        <v>10</v>
      </c>
      <c r="H31" s="48">
        <f ca="1">IFERROR(__xludf.DUMMYFUNCTION("""COMPUTED_VALUE"""),4)</f>
        <v>4</v>
      </c>
      <c r="I31" s="48">
        <f ca="1">IFERROR(__xludf.DUMMYFUNCTION("""COMPUTED_VALUE"""),3)</f>
        <v>3</v>
      </c>
      <c r="J31" s="48">
        <f ca="1">IFERROR(__xludf.DUMMYFUNCTION("""COMPUTED_VALUE"""),5)</f>
        <v>5</v>
      </c>
      <c r="K31" s="48">
        <f ca="1">IFERROR(__xludf.DUMMYFUNCTION("""COMPUTED_VALUE"""),9)</f>
        <v>9</v>
      </c>
      <c r="L31" s="48">
        <f ca="1">IFERROR(__xludf.DUMMYFUNCTION("""COMPUTED_VALUE"""),12)</f>
        <v>12</v>
      </c>
      <c r="M31" s="48">
        <f ca="1">IFERROR(__xludf.DUMMYFUNCTION("""COMPUTED_VALUE"""),5)</f>
        <v>5</v>
      </c>
      <c r="N31" s="48">
        <f ca="1">IFERROR(__xludf.DUMMYFUNCTION("""COMPUTED_VALUE"""),8)</f>
        <v>8</v>
      </c>
      <c r="O31" s="48">
        <f ca="1">IFERROR(__xludf.DUMMYFUNCTION("""COMPUTED_VALUE"""),4)</f>
        <v>4</v>
      </c>
      <c r="P31" s="48">
        <f ca="1">IFERROR(__xludf.DUMMYFUNCTION("""COMPUTED_VALUE"""),2)</f>
        <v>2</v>
      </c>
      <c r="Q31" s="48">
        <f ca="1">IFERROR(__xludf.DUMMYFUNCTION("""COMPUTED_VALUE"""),2)</f>
        <v>2</v>
      </c>
      <c r="R31" s="48">
        <f ca="1">IFERROR(__xludf.DUMMYFUNCTION("""COMPUTED_VALUE"""),5)</f>
        <v>5</v>
      </c>
      <c r="S31" s="48">
        <f ca="1">IFERROR(__xludf.DUMMYFUNCTION("""COMPUTED_VALUE"""),69)</f>
        <v>69</v>
      </c>
    </row>
    <row r="32" spans="1:19">
      <c r="A32" s="46" t="str">
        <f ca="1">IFERROR(__xludf.DUMMYFUNCTION("""COMPUTED_VALUE"""),"ROBO A VEHICULOS")</f>
        <v>ROBO A VEHICULOS</v>
      </c>
      <c r="B32" s="46">
        <f ca="1">IFERROR(__xludf.DUMMYFUNCTION("""COMPUTED_VALUE"""),5)</f>
        <v>5</v>
      </c>
      <c r="C32" s="46" t="str">
        <f ca="1">IFERROR(__xludf.DUMMYFUNCTION("""COMPUTED_VALUE"""),"ROBOS A VEHICULOS")</f>
        <v>ROBOS A VEHICULOS</v>
      </c>
      <c r="D32" s="46" t="str">
        <f ca="1">IFERROR(__xludf.DUMMYFUNCTION("""COMPUTED_VALUE"""),"DESCENDENTE")</f>
        <v>DESCENDENTE</v>
      </c>
      <c r="E32" s="46" t="str">
        <f ca="1">IFERROR(__xludf.DUMMYFUNCTION("""COMPUTED_VALUE"""),"BITACORA OPERATIVA")</f>
        <v>BITACORA OPERATIVA</v>
      </c>
      <c r="F32" s="48">
        <f ca="1">IFERROR(__xludf.DUMMYFUNCTION("""COMPUTED_VALUE"""),220)</f>
        <v>220</v>
      </c>
      <c r="G32" s="48">
        <f ca="1">IFERROR(__xludf.DUMMYFUNCTION("""COMPUTED_VALUE"""),2)</f>
        <v>2</v>
      </c>
      <c r="H32" s="48">
        <f ca="1">IFERROR(__xludf.DUMMYFUNCTION("""COMPUTED_VALUE"""),2)</f>
        <v>2</v>
      </c>
      <c r="I32" s="48">
        <f ca="1">IFERROR(__xludf.DUMMYFUNCTION("""COMPUTED_VALUE"""),0)</f>
        <v>0</v>
      </c>
      <c r="J32" s="48">
        <f ca="1">IFERROR(__xludf.DUMMYFUNCTION("""COMPUTED_VALUE"""),2)</f>
        <v>2</v>
      </c>
      <c r="K32" s="48">
        <f ca="1">IFERROR(__xludf.DUMMYFUNCTION("""COMPUTED_VALUE"""),2)</f>
        <v>2</v>
      </c>
      <c r="L32" s="48">
        <f ca="1">IFERROR(__xludf.DUMMYFUNCTION("""COMPUTED_VALUE"""),0)</f>
        <v>0</v>
      </c>
      <c r="M32" s="48">
        <f ca="1">IFERROR(__xludf.DUMMYFUNCTION("""COMPUTED_VALUE"""),0)</f>
        <v>0</v>
      </c>
      <c r="N32" s="48">
        <f ca="1">IFERROR(__xludf.DUMMYFUNCTION("""COMPUTED_VALUE"""),0)</f>
        <v>0</v>
      </c>
      <c r="O32" s="48">
        <f ca="1">IFERROR(__xludf.DUMMYFUNCTION("""COMPUTED_VALUE"""),2)</f>
        <v>2</v>
      </c>
      <c r="P32" s="48">
        <f ca="1">IFERROR(__xludf.DUMMYFUNCTION("""COMPUTED_VALUE"""),0)</f>
        <v>0</v>
      </c>
      <c r="Q32" s="48">
        <f ca="1">IFERROR(__xludf.DUMMYFUNCTION("""COMPUTED_VALUE"""),1)</f>
        <v>1</v>
      </c>
      <c r="R32" s="48">
        <f ca="1">IFERROR(__xludf.DUMMYFUNCTION("""COMPUTED_VALUE"""),0)</f>
        <v>0</v>
      </c>
      <c r="S32" s="48">
        <f ca="1">IFERROR(__xludf.DUMMYFUNCTION("""COMPUTED_VALUE"""),11)</f>
        <v>11</v>
      </c>
    </row>
    <row r="33" spans="1:19">
      <c r="A33" s="46" t="str">
        <f ca="1">IFERROR(__xludf.DUMMYFUNCTION("""COMPUTED_VALUE"""),"OTROS ROBOS")</f>
        <v>OTROS ROBOS</v>
      </c>
      <c r="B33" s="46">
        <f ca="1">IFERROR(__xludf.DUMMYFUNCTION("""COMPUTED_VALUE"""),10)</f>
        <v>10</v>
      </c>
      <c r="C33" s="46" t="str">
        <f ca="1">IFERROR(__xludf.DUMMYFUNCTION("""COMPUTED_VALUE"""),"OTROS ROBOS")</f>
        <v>OTROS ROBOS</v>
      </c>
      <c r="D33" s="46" t="str">
        <f ca="1">IFERROR(__xludf.DUMMYFUNCTION("""COMPUTED_VALUE"""),"DESCENDENTE")</f>
        <v>DESCENDENTE</v>
      </c>
      <c r="E33" s="46" t="str">
        <f ca="1">IFERROR(__xludf.DUMMYFUNCTION("""COMPUTED_VALUE"""),"BITACORA OPERATIVA")</f>
        <v>BITACORA OPERATIVA</v>
      </c>
      <c r="F33" s="48">
        <f ca="1">IFERROR(__xludf.DUMMYFUNCTION("""COMPUTED_VALUE"""),360)</f>
        <v>360</v>
      </c>
      <c r="G33" s="48">
        <f ca="1">IFERROR(__xludf.DUMMYFUNCTION("""COMPUTED_VALUE"""),6)</f>
        <v>6</v>
      </c>
      <c r="H33" s="48">
        <f ca="1">IFERROR(__xludf.DUMMYFUNCTION("""COMPUTED_VALUE"""),5)</f>
        <v>5</v>
      </c>
      <c r="I33" s="48">
        <f ca="1">IFERROR(__xludf.DUMMYFUNCTION("""COMPUTED_VALUE"""),7)</f>
        <v>7</v>
      </c>
      <c r="J33" s="48">
        <f ca="1">IFERROR(__xludf.DUMMYFUNCTION("""COMPUTED_VALUE"""),0)</f>
        <v>0</v>
      </c>
      <c r="K33" s="48">
        <f ca="1">IFERROR(__xludf.DUMMYFUNCTION("""COMPUTED_VALUE"""),0)</f>
        <v>0</v>
      </c>
      <c r="L33" s="48">
        <f ca="1">IFERROR(__xludf.DUMMYFUNCTION("""COMPUTED_VALUE"""),0)</f>
        <v>0</v>
      </c>
      <c r="M33" s="48">
        <f ca="1">IFERROR(__xludf.DUMMYFUNCTION("""COMPUTED_VALUE"""),1)</f>
        <v>1</v>
      </c>
      <c r="N33" s="48">
        <f ca="1">IFERROR(__xludf.DUMMYFUNCTION("""COMPUTED_VALUE"""),2)</f>
        <v>2</v>
      </c>
      <c r="O33" s="48">
        <f ca="1">IFERROR(__xludf.DUMMYFUNCTION("""COMPUTED_VALUE"""),1)</f>
        <v>1</v>
      </c>
      <c r="P33" s="48">
        <f ca="1">IFERROR(__xludf.DUMMYFUNCTION("""COMPUTED_VALUE"""),6)</f>
        <v>6</v>
      </c>
      <c r="Q33" s="48">
        <f ca="1">IFERROR(__xludf.DUMMYFUNCTION("""COMPUTED_VALUE"""),4)</f>
        <v>4</v>
      </c>
      <c r="R33" s="48">
        <f ca="1">IFERROR(__xludf.DUMMYFUNCTION("""COMPUTED_VALUE"""),4)</f>
        <v>4</v>
      </c>
      <c r="S33" s="48">
        <f ca="1">IFERROR(__xludf.DUMMYFUNCTION("""COMPUTED_VALUE"""),36)</f>
        <v>36</v>
      </c>
    </row>
    <row r="34" spans="1:19">
      <c r="A34" s="46" t="str">
        <f ca="1">IFERROR(__xludf.DUMMYFUNCTION("""COMPUTED_VALUE"""),"REPORTES VIOLENCIA INTRAFAMILIAR")</f>
        <v>REPORTES VIOLENCIA INTRAFAMILIAR</v>
      </c>
      <c r="B34" s="46">
        <f ca="1">IFERROR(__xludf.DUMMYFUNCTION("""COMPUTED_VALUE"""),300)</f>
        <v>300</v>
      </c>
      <c r="C34" s="46" t="str">
        <f ca="1">IFERROR(__xludf.DUMMYFUNCTION("""COMPUTED_VALUE"""),"REPORTES DE VIOLENCIA INTRAFAMILIAR")</f>
        <v>REPORTES DE VIOLENCIA INTRAFAMILIAR</v>
      </c>
      <c r="D34" s="46" t="str">
        <f ca="1">IFERROR(__xludf.DUMMYFUNCTION("""COMPUTED_VALUE"""),"DESCENDENTE")</f>
        <v>DESCENDENTE</v>
      </c>
      <c r="E34" s="46" t="str">
        <f ca="1">IFERROR(__xludf.DUMMYFUNCTION("""COMPUTED_VALUE"""),"BITACORA OPERATIVA")</f>
        <v>BITACORA OPERATIVA</v>
      </c>
      <c r="F34" s="48">
        <f ca="1">IFERROR(__xludf.DUMMYFUNCTION("""COMPUTED_VALUE"""),73.3333333333333)</f>
        <v>73.3333333333333</v>
      </c>
      <c r="G34" s="48">
        <f ca="1">IFERROR(__xludf.DUMMYFUNCTION("""COMPUTED_VALUE"""),17)</f>
        <v>17</v>
      </c>
      <c r="H34" s="48">
        <f ca="1">IFERROR(__xludf.DUMMYFUNCTION("""COMPUTED_VALUE"""),5)</f>
        <v>5</v>
      </c>
      <c r="I34" s="48">
        <f ca="1">IFERROR(__xludf.DUMMYFUNCTION("""COMPUTED_VALUE"""),23)</f>
        <v>23</v>
      </c>
      <c r="J34" s="48">
        <f ca="1">IFERROR(__xludf.DUMMYFUNCTION("""COMPUTED_VALUE"""),7)</f>
        <v>7</v>
      </c>
      <c r="K34" s="48">
        <f ca="1">IFERROR(__xludf.DUMMYFUNCTION("""COMPUTED_VALUE"""),20)</f>
        <v>20</v>
      </c>
      <c r="L34" s="48">
        <f ca="1">IFERROR(__xludf.DUMMYFUNCTION("""COMPUTED_VALUE"""),25)</f>
        <v>25</v>
      </c>
      <c r="M34" s="48">
        <f ca="1">IFERROR(__xludf.DUMMYFUNCTION("""COMPUTED_VALUE"""),18)</f>
        <v>18</v>
      </c>
      <c r="N34" s="48">
        <f ca="1">IFERROR(__xludf.DUMMYFUNCTION("""COMPUTED_VALUE"""),22)</f>
        <v>22</v>
      </c>
      <c r="O34" s="48">
        <f ca="1">IFERROR(__xludf.DUMMYFUNCTION("""COMPUTED_VALUE"""),28)</f>
        <v>28</v>
      </c>
      <c r="P34" s="48">
        <f ca="1">IFERROR(__xludf.DUMMYFUNCTION("""COMPUTED_VALUE"""),24)</f>
        <v>24</v>
      </c>
      <c r="Q34" s="48">
        <f ca="1">IFERROR(__xludf.DUMMYFUNCTION("""COMPUTED_VALUE"""),17)</f>
        <v>17</v>
      </c>
      <c r="R34" s="48">
        <f ca="1">IFERROR(__xludf.DUMMYFUNCTION("""COMPUTED_VALUE"""),14)</f>
        <v>14</v>
      </c>
      <c r="S34" s="48">
        <f ca="1">IFERROR(__xludf.DUMMYFUNCTION("""COMPUTED_VALUE"""),220)</f>
        <v>220</v>
      </c>
    </row>
    <row r="35" spans="1:19">
      <c r="A35" s="46" t="str">
        <f ca="1">IFERROR(__xludf.DUMMYFUNCTION("""COMPUTED_VALUE"""),"OTROS DELITOS CONTRA LA FAMILIA")</f>
        <v>OTROS DELITOS CONTRA LA FAMILIA</v>
      </c>
      <c r="B35" s="46">
        <f ca="1">IFERROR(__xludf.DUMMYFUNCTION("""COMPUTED_VALUE"""),50)</f>
        <v>50</v>
      </c>
      <c r="C35" s="46" t="str">
        <f ca="1">IFERROR(__xludf.DUMMYFUNCTION("""COMPUTED_VALUE"""),"OTROS DELITOS CONTRA LA FAMILIA")</f>
        <v>OTROS DELITOS CONTRA LA FAMILIA</v>
      </c>
      <c r="D35" s="46" t="str">
        <f ca="1">IFERROR(__xludf.DUMMYFUNCTION("""COMPUTED_VALUE"""),"DESCENDENTE")</f>
        <v>DESCENDENTE</v>
      </c>
      <c r="E35" s="46" t="str">
        <f ca="1">IFERROR(__xludf.DUMMYFUNCTION("""COMPUTED_VALUE"""),"BITACORA OPERATIVA")</f>
        <v>BITACORA OPERATIVA</v>
      </c>
      <c r="F35" s="48">
        <f ca="1">IFERROR(__xludf.DUMMYFUNCTION("""COMPUTED_VALUE"""),0)</f>
        <v>0</v>
      </c>
      <c r="G35" s="48">
        <f ca="1">IFERROR(__xludf.DUMMYFUNCTION("""COMPUTED_VALUE"""),0)</f>
        <v>0</v>
      </c>
      <c r="H35" s="48">
        <f ca="1">IFERROR(__xludf.DUMMYFUNCTION("""COMPUTED_VALUE"""),0)</f>
        <v>0</v>
      </c>
      <c r="I35" s="48">
        <f ca="1">IFERROR(__xludf.DUMMYFUNCTION("""COMPUTED_VALUE"""),0)</f>
        <v>0</v>
      </c>
      <c r="J35" s="48">
        <f ca="1">IFERROR(__xludf.DUMMYFUNCTION("""COMPUTED_VALUE"""),0)</f>
        <v>0</v>
      </c>
      <c r="K35" s="48">
        <f ca="1">IFERROR(__xludf.DUMMYFUNCTION("""COMPUTED_VALUE"""),0)</f>
        <v>0</v>
      </c>
      <c r="L35" s="48">
        <f ca="1">IFERROR(__xludf.DUMMYFUNCTION("""COMPUTED_VALUE"""),0)</f>
        <v>0</v>
      </c>
      <c r="M35" s="48">
        <f ca="1">IFERROR(__xludf.DUMMYFUNCTION("""COMPUTED_VALUE"""),0)</f>
        <v>0</v>
      </c>
      <c r="N35" s="48">
        <f ca="1">IFERROR(__xludf.DUMMYFUNCTION("""COMPUTED_VALUE"""),0)</f>
        <v>0</v>
      </c>
      <c r="O35" s="48">
        <f ca="1">IFERROR(__xludf.DUMMYFUNCTION("""COMPUTED_VALUE"""),0)</f>
        <v>0</v>
      </c>
      <c r="P35" s="48">
        <f ca="1">IFERROR(__xludf.DUMMYFUNCTION("""COMPUTED_VALUE"""),0)</f>
        <v>0</v>
      </c>
      <c r="Q35" s="48">
        <f ca="1">IFERROR(__xludf.DUMMYFUNCTION("""COMPUTED_VALUE"""),0)</f>
        <v>0</v>
      </c>
      <c r="R35" s="48">
        <f ca="1">IFERROR(__xludf.DUMMYFUNCTION("""COMPUTED_VALUE"""),0)</f>
        <v>0</v>
      </c>
      <c r="S35" s="48">
        <f ca="1">IFERROR(__xludf.DUMMYFUNCTION("""COMPUTED_VALUE"""),0)</f>
        <v>0</v>
      </c>
    </row>
    <row r="36" spans="1:19">
      <c r="A36" s="46" t="str">
        <f ca="1">IFERROR(__xludf.DUMMYFUNCTION("""COMPUTED_VALUE"""),"SANCIONES A MOTOCICLETAS")</f>
        <v>SANCIONES A MOTOCICLETAS</v>
      </c>
      <c r="B36" s="46">
        <f ca="1">IFERROR(__xludf.DUMMYFUNCTION("""COMPUTED_VALUE"""),4000)</f>
        <v>4000</v>
      </c>
      <c r="C36" s="46" t="str">
        <f ca="1">IFERROR(__xludf.DUMMYFUNCTION("""COMPUTED_VALUE"""),"SANCIONES A MOTOCICLISTAS")</f>
        <v>SANCIONES A MOTOCICLISTAS</v>
      </c>
      <c r="D36" s="46" t="str">
        <f ca="1">IFERROR(__xludf.DUMMYFUNCTION("""COMPUTED_VALUE"""),"DESCENDENTE")</f>
        <v>DESCENDENTE</v>
      </c>
      <c r="E36" s="46" t="str">
        <f ca="1">IFERROR(__xludf.DUMMYFUNCTION("""COMPUTED_VALUE"""),"BITACORA OPERATIVA")</f>
        <v>BITACORA OPERATIVA</v>
      </c>
      <c r="F36" s="48">
        <f ca="1">IFERROR(__xludf.DUMMYFUNCTION("""COMPUTED_VALUE"""),94.475)</f>
        <v>94.474999999999994</v>
      </c>
      <c r="G36" s="48">
        <f ca="1">IFERROR(__xludf.DUMMYFUNCTION("""COMPUTED_VALUE"""),209)</f>
        <v>209</v>
      </c>
      <c r="H36" s="48">
        <f ca="1">IFERROR(__xludf.DUMMYFUNCTION("""COMPUTED_VALUE"""),214)</f>
        <v>214</v>
      </c>
      <c r="I36" s="48">
        <f ca="1">IFERROR(__xludf.DUMMYFUNCTION("""COMPUTED_VALUE"""),114)</f>
        <v>114</v>
      </c>
      <c r="J36" s="48">
        <f ca="1">IFERROR(__xludf.DUMMYFUNCTION("""COMPUTED_VALUE"""),378)</f>
        <v>378</v>
      </c>
      <c r="K36" s="48">
        <f ca="1">IFERROR(__xludf.DUMMYFUNCTION("""COMPUTED_VALUE"""),363)</f>
        <v>363</v>
      </c>
      <c r="L36" s="48">
        <f ca="1">IFERROR(__xludf.DUMMYFUNCTION("""COMPUTED_VALUE"""),375)</f>
        <v>375</v>
      </c>
      <c r="M36" s="48">
        <f ca="1">IFERROR(__xludf.DUMMYFUNCTION("""COMPUTED_VALUE"""),425)</f>
        <v>425</v>
      </c>
      <c r="N36" s="48">
        <f ca="1">IFERROR(__xludf.DUMMYFUNCTION("""COMPUTED_VALUE"""),347)</f>
        <v>347</v>
      </c>
      <c r="O36" s="48">
        <f ca="1">IFERROR(__xludf.DUMMYFUNCTION("""COMPUTED_VALUE"""),346)</f>
        <v>346</v>
      </c>
      <c r="P36" s="48">
        <f ca="1">IFERROR(__xludf.DUMMYFUNCTION("""COMPUTED_VALUE"""),379)</f>
        <v>379</v>
      </c>
      <c r="Q36" s="48">
        <f ca="1">IFERROR(__xludf.DUMMYFUNCTION("""COMPUTED_VALUE"""),380)</f>
        <v>380</v>
      </c>
      <c r="R36" s="48">
        <f ca="1">IFERROR(__xludf.DUMMYFUNCTION("""COMPUTED_VALUE"""),249)</f>
        <v>249</v>
      </c>
      <c r="S36" s="48">
        <f ca="1">IFERROR(__xludf.DUMMYFUNCTION("""COMPUTED_VALUE"""),3779)</f>
        <v>3779</v>
      </c>
    </row>
    <row r="37" spans="1:19">
      <c r="A37" s="46" t="str">
        <f ca="1">IFERROR(__xludf.DUMMYFUNCTION("""COMPUTED_VALUE"""),"SANCIONES A AUTOMÓVILES")</f>
        <v>SANCIONES A AUTOMÓVILES</v>
      </c>
      <c r="B37" s="46">
        <f ca="1">IFERROR(__xludf.DUMMYFUNCTION("""COMPUTED_VALUE"""),1800)</f>
        <v>1800</v>
      </c>
      <c r="C37" s="46" t="str">
        <f ca="1">IFERROR(__xludf.DUMMYFUNCTION("""COMPUTED_VALUE"""),"SANCIONES A AUTOMOLIVISTAS")</f>
        <v>SANCIONES A AUTOMOLIVISTAS</v>
      </c>
      <c r="D37" s="46" t="str">
        <f ca="1">IFERROR(__xludf.DUMMYFUNCTION("""COMPUTED_VALUE"""),"ASCENDENTE")</f>
        <v>ASCENDENTE</v>
      </c>
      <c r="E37" s="46" t="str">
        <f ca="1">IFERROR(__xludf.DUMMYFUNCTION("""COMPUTED_VALUE"""),"BITACORA OPERATIVA")</f>
        <v>BITACORA OPERATIVA</v>
      </c>
      <c r="F37" s="48">
        <f ca="1">IFERROR(__xludf.DUMMYFUNCTION("""COMPUTED_VALUE"""),109.222222222222)</f>
        <v>109.222222222222</v>
      </c>
      <c r="G37" s="48">
        <f ca="1">IFERROR(__xludf.DUMMYFUNCTION("""COMPUTED_VALUE"""),87)</f>
        <v>87</v>
      </c>
      <c r="H37" s="48">
        <f ca="1">IFERROR(__xludf.DUMMYFUNCTION("""COMPUTED_VALUE"""),95)</f>
        <v>95</v>
      </c>
      <c r="I37" s="48">
        <f ca="1">IFERROR(__xludf.DUMMYFUNCTION("""COMPUTED_VALUE"""),33)</f>
        <v>33</v>
      </c>
      <c r="J37" s="48">
        <f ca="1">IFERROR(__xludf.DUMMYFUNCTION("""COMPUTED_VALUE"""),160)</f>
        <v>160</v>
      </c>
      <c r="K37" s="48">
        <f ca="1">IFERROR(__xludf.DUMMYFUNCTION("""COMPUTED_VALUE"""),177)</f>
        <v>177</v>
      </c>
      <c r="L37" s="48">
        <f ca="1">IFERROR(__xludf.DUMMYFUNCTION("""COMPUTED_VALUE"""),195)</f>
        <v>195</v>
      </c>
      <c r="M37" s="48">
        <f ca="1">IFERROR(__xludf.DUMMYFUNCTION("""COMPUTED_VALUE"""),162)</f>
        <v>162</v>
      </c>
      <c r="N37" s="48">
        <f ca="1">IFERROR(__xludf.DUMMYFUNCTION("""COMPUTED_VALUE"""),168)</f>
        <v>168</v>
      </c>
      <c r="O37" s="48">
        <f ca="1">IFERROR(__xludf.DUMMYFUNCTION("""COMPUTED_VALUE"""),308)</f>
        <v>308</v>
      </c>
      <c r="P37" s="48">
        <f ca="1">IFERROR(__xludf.DUMMYFUNCTION("""COMPUTED_VALUE"""),188)</f>
        <v>188</v>
      </c>
      <c r="Q37" s="48">
        <f ca="1">IFERROR(__xludf.DUMMYFUNCTION("""COMPUTED_VALUE"""),200)</f>
        <v>200</v>
      </c>
      <c r="R37" s="48">
        <f ca="1">IFERROR(__xludf.DUMMYFUNCTION("""COMPUTED_VALUE"""),193)</f>
        <v>193</v>
      </c>
      <c r="S37" s="48">
        <f ca="1">IFERROR(__xludf.DUMMYFUNCTION("""COMPUTED_VALUE"""),1966)</f>
        <v>1966</v>
      </c>
    </row>
    <row r="38" spans="1:19">
      <c r="A38" s="46" t="str">
        <f ca="1">IFERROR(__xludf.DUMMYFUNCTION("""COMPUTED_VALUE"""),"SANCIONES A VEHÍCULOS DE CARGA PESADA ")</f>
        <v xml:space="preserve">SANCIONES A VEHÍCULOS DE CARGA PESADA </v>
      </c>
      <c r="B38" s="46">
        <f ca="1">IFERROR(__xludf.DUMMYFUNCTION("""COMPUTED_VALUE"""),100)</f>
        <v>100</v>
      </c>
      <c r="C38" s="46" t="str">
        <f ca="1">IFERROR(__xludf.DUMMYFUNCTION("""COMPUTED_VALUE"""),"SANCIONES A VEHICULOS DE CARGA")</f>
        <v>SANCIONES A VEHICULOS DE CARGA</v>
      </c>
      <c r="D38" s="46" t="str">
        <f ca="1">IFERROR(__xludf.DUMMYFUNCTION("""COMPUTED_VALUE"""),"ASCENDENTE")</f>
        <v>ASCENDENTE</v>
      </c>
      <c r="E38" s="46" t="str">
        <f ca="1">IFERROR(__xludf.DUMMYFUNCTION("""COMPUTED_VALUE"""),"BITACORA OPERATIVA")</f>
        <v>BITACORA OPERATIVA</v>
      </c>
      <c r="F38" s="48">
        <f ca="1">IFERROR(__xludf.DUMMYFUNCTION("""COMPUTED_VALUE"""),136)</f>
        <v>136</v>
      </c>
      <c r="G38" s="48">
        <f ca="1">IFERROR(__xludf.DUMMYFUNCTION("""COMPUTED_VALUE"""),0)</f>
        <v>0</v>
      </c>
      <c r="H38" s="48">
        <f ca="1">IFERROR(__xludf.DUMMYFUNCTION("""COMPUTED_VALUE"""),0)</f>
        <v>0</v>
      </c>
      <c r="I38" s="48">
        <f ca="1">IFERROR(__xludf.DUMMYFUNCTION("""COMPUTED_VALUE"""),1)</f>
        <v>1</v>
      </c>
      <c r="J38" s="48">
        <f ca="1">IFERROR(__xludf.DUMMYFUNCTION("""COMPUTED_VALUE"""),2)</f>
        <v>2</v>
      </c>
      <c r="K38" s="48">
        <f ca="1">IFERROR(__xludf.DUMMYFUNCTION("""COMPUTED_VALUE"""),14)</f>
        <v>14</v>
      </c>
      <c r="L38" s="48">
        <f ca="1">IFERROR(__xludf.DUMMYFUNCTION("""COMPUTED_VALUE"""),20)</f>
        <v>20</v>
      </c>
      <c r="M38" s="48">
        <f ca="1">IFERROR(__xludf.DUMMYFUNCTION("""COMPUTED_VALUE"""),21)</f>
        <v>21</v>
      </c>
      <c r="N38" s="48">
        <f ca="1">IFERROR(__xludf.DUMMYFUNCTION("""COMPUTED_VALUE"""),16)</f>
        <v>16</v>
      </c>
      <c r="O38" s="48">
        <f ca="1">IFERROR(__xludf.DUMMYFUNCTION("""COMPUTED_VALUE"""),9)</f>
        <v>9</v>
      </c>
      <c r="P38" s="48">
        <f ca="1">IFERROR(__xludf.DUMMYFUNCTION("""COMPUTED_VALUE"""),18)</f>
        <v>18</v>
      </c>
      <c r="Q38" s="48">
        <f ca="1">IFERROR(__xludf.DUMMYFUNCTION("""COMPUTED_VALUE"""),21)</f>
        <v>21</v>
      </c>
      <c r="R38" s="48">
        <f ca="1">IFERROR(__xludf.DUMMYFUNCTION("""COMPUTED_VALUE"""),14)</f>
        <v>14</v>
      </c>
      <c r="S38" s="48">
        <f ca="1">IFERROR(__xludf.DUMMYFUNCTION("""COMPUTED_VALUE"""),136)</f>
        <v>136</v>
      </c>
    </row>
    <row r="39" spans="1:19">
      <c r="A39" s="46" t="str">
        <f ca="1">IFERROR(__xludf.DUMMYFUNCTION("""COMPUTED_VALUE"""),"SANCIONES AL TRANSPORTE PUBLICO")</f>
        <v>SANCIONES AL TRANSPORTE PUBLICO</v>
      </c>
      <c r="B39" s="46">
        <f ca="1">IFERROR(__xludf.DUMMYFUNCTION("""COMPUTED_VALUE"""),20)</f>
        <v>20</v>
      </c>
      <c r="C39" s="46" t="str">
        <f ca="1">IFERROR(__xludf.DUMMYFUNCTION("""COMPUTED_VALUE"""),"SANCIONES A TRANSPORTE PUBLICO")</f>
        <v>SANCIONES A TRANSPORTE PUBLICO</v>
      </c>
      <c r="D39" s="46" t="str">
        <f ca="1">IFERROR(__xludf.DUMMYFUNCTION("""COMPUTED_VALUE"""),"ASCENDENTE")</f>
        <v>ASCENDENTE</v>
      </c>
      <c r="E39" s="46" t="str">
        <f ca="1">IFERROR(__xludf.DUMMYFUNCTION("""COMPUTED_VALUE"""),"BITACORA OPERATIVA")</f>
        <v>BITACORA OPERATIVA</v>
      </c>
      <c r="F39" s="48">
        <f ca="1">IFERROR(__xludf.DUMMYFUNCTION("""COMPUTED_VALUE"""),305)</f>
        <v>305</v>
      </c>
      <c r="G39" s="48">
        <f ca="1">IFERROR(__xludf.DUMMYFUNCTION("""COMPUTED_VALUE"""),0)</f>
        <v>0</v>
      </c>
      <c r="H39" s="48">
        <f ca="1">IFERROR(__xludf.DUMMYFUNCTION("""COMPUTED_VALUE"""),0)</f>
        <v>0</v>
      </c>
      <c r="I39" s="48">
        <f ca="1">IFERROR(__xludf.DUMMYFUNCTION("""COMPUTED_VALUE"""),0)</f>
        <v>0</v>
      </c>
      <c r="J39" s="48">
        <f ca="1">IFERROR(__xludf.DUMMYFUNCTION("""COMPUTED_VALUE"""),2)</f>
        <v>2</v>
      </c>
      <c r="K39" s="48">
        <f ca="1">IFERROR(__xludf.DUMMYFUNCTION("""COMPUTED_VALUE"""),4)</f>
        <v>4</v>
      </c>
      <c r="L39" s="48">
        <f ca="1">IFERROR(__xludf.DUMMYFUNCTION("""COMPUTED_VALUE"""),24)</f>
        <v>24</v>
      </c>
      <c r="M39" s="48">
        <f ca="1">IFERROR(__xludf.DUMMYFUNCTION("""COMPUTED_VALUE"""),3)</f>
        <v>3</v>
      </c>
      <c r="N39" s="48">
        <f ca="1">IFERROR(__xludf.DUMMYFUNCTION("""COMPUTED_VALUE"""),5)</f>
        <v>5</v>
      </c>
      <c r="O39" s="48">
        <f ca="1">IFERROR(__xludf.DUMMYFUNCTION("""COMPUTED_VALUE"""),8)</f>
        <v>8</v>
      </c>
      <c r="P39" s="48">
        <f ca="1">IFERROR(__xludf.DUMMYFUNCTION("""COMPUTED_VALUE"""),1)</f>
        <v>1</v>
      </c>
      <c r="Q39" s="48">
        <f ca="1">IFERROR(__xludf.DUMMYFUNCTION("""COMPUTED_VALUE"""),6)</f>
        <v>6</v>
      </c>
      <c r="R39" s="48">
        <f ca="1">IFERROR(__xludf.DUMMYFUNCTION("""COMPUTED_VALUE"""),8)</f>
        <v>8</v>
      </c>
      <c r="S39" s="48">
        <f ca="1">IFERROR(__xludf.DUMMYFUNCTION("""COMPUTED_VALUE"""),61)</f>
        <v>61</v>
      </c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IFERROR(__xludf.DUMMYFUNCTION("IMPORTRANGE(""https://docs.google.com/spreadsheets/d/1g-h1aS3-3hlyBHv3TTw1_RiRJ9wIMFhsu0KL2nhJoII/edit?gid=226170794#gid=226170794"",""02!A1:S"")"),"INDICADORES")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 SANCIONES  A LAS PERSONAS EN ESTADO DE EBRIEDAD O BAJO EL INFLUJO DE ALGUN ESTUPEFACIENTE.")</f>
        <v xml:space="preserve"> SANCIONES  A LAS PERSONAS EN ESTADO DE EBRIEDAD O BAJO EL INFLUJO DE ALGUN ESTUPEFACIENTE.</v>
      </c>
      <c r="B2" s="46">
        <f ca="1">IFERROR(__xludf.DUMMYFUNCTION("""COMPUTED_VALUE"""),1)</f>
        <v>1</v>
      </c>
      <c r="C2" s="46"/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IFERROR(__xludf.DUMMYFUNCTION("""COMPUTED_VALUE"""),0)</f>
        <v>0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IFERROR(__xludf.DUMMYFUNCTION("""COMPUTED_VALUE"""),0)</f>
        <v>0</v>
      </c>
    </row>
    <row r="3" spans="1:19">
      <c r="A3" s="46" t="str">
        <f ca="1">IFERROR(__xludf.DUMMYFUNCTION("""COMPUTED_VALUE"""),"SANCIONES POR CONSUMIR BEBIDAS ALCOHÓLICAS EN LUGARES PUBLICOS")</f>
        <v>SANCIONES POR CONSUMIR BEBIDAS ALCOHÓLICAS EN LUGARES PUBLICOS</v>
      </c>
      <c r="B3" s="46">
        <f ca="1">IFERROR(__xludf.DUMMYFUNCTION("""COMPUTED_VALUE"""),1)</f>
        <v>1</v>
      </c>
      <c r="C3" s="46"/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IFERROR(__xludf.DUMMYFUNCTION("""COMPUTED_VALUE"""),0)</f>
        <v>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IFERROR(__xludf.DUMMYFUNCTION("""COMPUTED_VALUE"""),0)</f>
        <v>0</v>
      </c>
    </row>
    <row r="4" spans="1:19">
      <c r="A4" s="46" t="str">
        <f ca="1">IFERROR(__xludf.DUMMYFUNCTION("""COMPUTED_VALUE"""),"SANCIONES POR CONSUMIR SUSTANCIAS QUE PROVOQUEN DEPENDENCIA EN LUGARES PÚBLICOS")</f>
        <v>SANCIONES POR CONSUMIR SUSTANCIAS QUE PROVOQUEN DEPENDENCIA EN LUGARES PÚBLICOS</v>
      </c>
      <c r="B4" s="46">
        <f ca="1">IFERROR(__xludf.DUMMYFUNCTION("""COMPUTED_VALUE"""),1)</f>
        <v>1</v>
      </c>
      <c r="C4" s="46"/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IFERROR(__xludf.DUMMYFUNCTION("""COMPUTED_VALUE"""),0)</f>
        <v>0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IFERROR(__xludf.DUMMYFUNCTION("""COMPUTED_VALUE"""),0)</f>
        <v>0</v>
      </c>
    </row>
    <row r="5" spans="1:19">
      <c r="A5" s="46" t="str">
        <f ca="1">IFERROR(__xludf.DUMMYFUNCTION("""COMPUTED_VALUE"""),"SANCIONES POR CONDUCIR VEHICULOS EN ESTADO DE EBRIEDAD O BAJO EL INFLUJO DE SUSTANCIAS QUE PROVOQUEN DEPENDENCIA")</f>
        <v>SANCIONES POR CONDUCIR VEHICULOS EN ESTADO DE EBRIEDAD O BAJO EL INFLUJO DE SUSTANCIAS QUE PROVOQUEN DEPENDENCIA</v>
      </c>
      <c r="B5" s="46">
        <f ca="1">IFERROR(__xludf.DUMMYFUNCTION("""COMPUTED_VALUE"""),1)</f>
        <v>1</v>
      </c>
      <c r="C5" s="46"/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IFERROR(__xludf.DUMMYFUNCTION("""COMPUTED_VALUE"""),0)</f>
        <v>0</v>
      </c>
      <c r="G5" s="48">
        <f ca="1">IFERROR(__xludf.DUMMYFUNCTION("""COMPUTED_VALUE"""),0)</f>
        <v>0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IFERROR(__xludf.DUMMYFUNCTION("""COMPUTED_VALUE"""),0)</f>
        <v>0</v>
      </c>
    </row>
    <row r="6" spans="1:19">
      <c r="A6" s="46" t="str">
        <f ca="1">IFERROR(__xludf.DUMMYFUNCTION("""COMPUTED_VALUE"""),"OTRAS INFRACCIONES RELACIONADAS AL CONSUMO    Y/O SUMINISTRO DE SUSTANCIAS QUE ALTERAN LA SALUD Y ESTADO FÍSICO")</f>
        <v>OTRAS INFRACCIONES RELACIONADAS AL CONSUMO    Y/O SUMINISTRO DE SUSTANCIAS QUE ALTERAN LA SALUD Y ESTADO FÍSICO</v>
      </c>
      <c r="B6" s="46">
        <f ca="1">IFERROR(__xludf.DUMMYFUNCTION("""COMPUTED_VALUE"""),1)</f>
        <v>1</v>
      </c>
      <c r="C6" s="46"/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IFERROR(__xludf.DUMMYFUNCTION("""COMPUTED_VALUE"""),0)</f>
        <v>0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IFERROR(__xludf.DUMMYFUNCTION("""COMPUTED_VALUE"""),0)</f>
        <v>0</v>
      </c>
    </row>
    <row r="7" spans="1:19">
      <c r="A7" s="46" t="str">
        <f ca="1">IFERROR(__xludf.DUMMYFUNCTION("""COMPUTED_VALUE"""),"SANCIONES POR CAUSAR AFECTACIÓN A BIENES DE PROPIEDAD PARTICULAR")</f>
        <v>SANCIONES POR CAUSAR AFECTACIÓN A BIENES DE PROPIEDAD PARTICULAR</v>
      </c>
      <c r="B7" s="46">
        <f ca="1">IFERROR(__xludf.DUMMYFUNCTION("""COMPUTED_VALUE"""),1)</f>
        <v>1</v>
      </c>
      <c r="C7" s="46"/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IFERROR(__xludf.DUMMYFUNCTION("""COMPUTED_VALUE"""),0)</f>
        <v>0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IFERROR(__xludf.DUMMYFUNCTION("""COMPUTED_VALUE"""),0)</f>
        <v>0</v>
      </c>
    </row>
    <row r="8" spans="1:19">
      <c r="A8" s="46" t="str">
        <f ca="1">IFERROR(__xludf.DUMMYFUNCTION("""COMPUTED_VALUE"""),"SANCIONES POR PROVOCAR DAÑO A BIENES DE PROPIEDAD MUNICIPAL O DELEGACIONAL")</f>
        <v>SANCIONES POR PROVOCAR DAÑO A BIENES DE PROPIEDAD MUNICIPAL O DELEGACIONAL</v>
      </c>
      <c r="B8" s="46">
        <f ca="1">IFERROR(__xludf.DUMMYFUNCTION("""COMPUTED_VALUE"""),1)</f>
        <v>1</v>
      </c>
      <c r="C8" s="46"/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IFERROR(__xludf.DUMMYFUNCTION("""COMPUTED_VALUE"""),"SANCIONES POR OTRAS INFRACCIONES RELACIONADAS CON EL DAÑO A LAS COSAS (EN CONTRA DE LA PROPIEDAD PRIVADA O DE DOMINIO PÚBLICO).")</f>
        <v>SANCIONES POR OTRAS INFRACCIONES RELACIONADAS CON EL DAÑO A LAS COSAS (EN CONTRA DE LA PROPIEDAD PRIVADA O DE DOMINIO PÚBLICO).</v>
      </c>
      <c r="B9" s="46">
        <f ca="1">IFERROR(__xludf.DUMMYFUNCTION("""COMPUTED_VALUE"""),1)</f>
        <v>1</v>
      </c>
      <c r="C9" s="46"/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IFERROR(__xludf.DUMMYFUNCTION("""COMPUTED_VALUE"""),"SANCIONES POR AGREDIR FISICA O VERBALMENTE A LOS ELEMENTOS OPERATIVOS")</f>
        <v>SANCIONES POR AGREDIR FISICA O VERBALMENTE A LOS ELEMENTOS OPERATIVOS</v>
      </c>
      <c r="B10" s="46">
        <f ca="1">IFERROR(__xludf.DUMMYFUNCTION("""COMPUTED_VALUE"""),1)</f>
        <v>1</v>
      </c>
      <c r="C10" s="46"/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IFERROR(__xludf.DUMMYFUNCTION("""COMPUTED_VALUE"""),"SANCIONES RELACIONADAS A OTRAS INFRACCIONES RELACIONADAS AL CONSUMO    Y/O SUMINISTRO DE SUSTANCIAS QUE ALTERAN LA SALUD Y ESTADO FÍSICO")</f>
        <v>SANCIONES RELACIONADAS A OTRAS INFRACCIONES RELACIONADAS AL CONSUMO    Y/O SUMINISTRO DE SUSTANCIAS QUE ALTERAN LA SALUD Y ESTADO FÍSICO</v>
      </c>
      <c r="B11" s="46">
        <f ca="1">IFERROR(__xludf.DUMMYFUNCTION("""COMPUTED_VALUE"""),1)</f>
        <v>1</v>
      </c>
      <c r="C11" s="46"/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IFERROR(__xludf.DUMMYFUNCTION("""COMPUTED_VALUE"""),0)</f>
        <v>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IFERROR(__xludf.DUMMYFUNCTION("""COMPUTED_VALUE"""),0)</f>
        <v>0</v>
      </c>
    </row>
    <row r="12" spans="1:19">
      <c r="A12" s="46" t="str">
        <f ca="1">IFERROR(__xludf.DUMMYFUNCTION("""COMPUTED_VALUE"""),"SANCIONES REALIZADAS A  NECESIDADES FISIOLÓGICAS")</f>
        <v>SANCIONES REALIZADAS A  NECESIDADES FISIOLÓGICAS</v>
      </c>
      <c r="B12" s="46">
        <f ca="1">IFERROR(__xludf.DUMMYFUNCTION("""COMPUTED_VALUE"""),1)</f>
        <v>1</v>
      </c>
      <c r="C12" s="46"/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IFERROR(__xludf.DUMMYFUNCTION("""COMPUTED_VALUE"""),"SANCIONES RELACIONADAS A LA CONTAMINACIÓN AUDITIVA")</f>
        <v>SANCIONES RELACIONADAS A LA CONTAMINACIÓN AUDITIVA</v>
      </c>
      <c r="B13" s="46">
        <f ca="1">IFERROR(__xludf.DUMMYFUNCTION("""COMPUTED_VALUE"""),1)</f>
        <v>1</v>
      </c>
      <c r="C13" s="46"/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IFERROR(__xludf.DUMMYFUNCTION("""COMPUTED_VALUE"""),"OTRAS INFRACCIONES RELACIONADAS AL DESORDEN EN LA CONVIVENCIA SOCIAL")</f>
        <v>OTRAS INFRACCIONES RELACIONADAS AL DESORDEN EN LA CONVIVENCIA SOCIAL</v>
      </c>
      <c r="B14" s="46">
        <f ca="1">IFERROR(__xludf.DUMMYFUNCTION("""COMPUTED_VALUE"""),1)</f>
        <v>1</v>
      </c>
      <c r="C14" s="46"/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IFERROR(__xludf.DUMMYFUNCTION("""COMPUTED_VALUE"""),"SANCIONES POR ALTERAR EL ORDEN PUBLICO")</f>
        <v>SANCIONES POR ALTERAR EL ORDEN PUBLICO</v>
      </c>
      <c r="B15" s="46">
        <f ca="1">IFERROR(__xludf.DUMMYFUNCTION("""COMPUTED_VALUE"""),1)</f>
        <v>1</v>
      </c>
      <c r="C15" s="46"/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IFERROR(__xludf.DUMMYFUNCTION("""COMPUTED_VALUE"""),"POSESIÓN SIMPLE")</f>
        <v>POSESIÓN SIMPLE</v>
      </c>
      <c r="B16" s="46">
        <f ca="1">IFERROR(__xludf.DUMMYFUNCTION("""COMPUTED_VALUE"""),1)</f>
        <v>1</v>
      </c>
      <c r="C16" s="46"/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IFERROR(__xludf.DUMMYFUNCTION("""COMPUTED_VALUE"""),"POSESIÓN CON FINES DE COMERCIO O SUMINISTRO")</f>
        <v>POSESIÓN CON FINES DE COMERCIO O SUMINISTRO</v>
      </c>
      <c r="B17" s="46">
        <f ca="1">IFERROR(__xludf.DUMMYFUNCTION("""COMPUTED_VALUE"""),1)</f>
        <v>1</v>
      </c>
      <c r="C17" s="46"/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IFERROR(__xludf.DUMMYFUNCTION("""COMPUTED_VALUE"""),0)</f>
        <v>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IFERROR(__xludf.DUMMYFUNCTION("""COMPUTED_VALUE"""),0)</f>
        <v>0</v>
      </c>
    </row>
    <row r="18" spans="1:19">
      <c r="A18" s="46" t="str">
        <f ca="1">IFERROR(__xludf.DUMMYFUNCTION("""COMPUTED_VALUE"""),"OTROS DELITOS CONTRA LA SALUD RELACIONADOS CON NARCOMENUDEO EN SU MODALIDAD DE NARCOMENUDEO")</f>
        <v>OTROS DELITOS CONTRA LA SALUD RELACIONADOS CON NARCOMENUDEO EN SU MODALIDAD DE NARCOMENUDEO</v>
      </c>
      <c r="B18" s="46">
        <f ca="1">IFERROR(__xludf.DUMMYFUNCTION("""COMPUTED_VALUE"""),1)</f>
        <v>1</v>
      </c>
      <c r="C18" s="46"/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IFERROR(__xludf.DUMMYFUNCTION("""COMPUTED_VALUE"""),"DELITOS DEL FUERO COMÚN")</f>
        <v>DELITOS DEL FUERO COMÚN</v>
      </c>
      <c r="B19" s="46">
        <f ca="1">IFERROR(__xludf.DUMMYFUNCTION("""COMPUTED_VALUE"""),1)</f>
        <v>1</v>
      </c>
      <c r="C19" s="46"/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 t="str">
        <f ca="1">IFERROR(__xludf.DUMMYFUNCTION("""COMPUTED_VALUE"""),"HOMICIDIO")</f>
        <v>HOMICIDIO</v>
      </c>
      <c r="B20" s="46">
        <f ca="1">IFERROR(__xludf.DUMMYFUNCTION("""COMPUTED_VALUE"""),1)</f>
        <v>1</v>
      </c>
      <c r="C20" s="46"/>
      <c r="D20" s="46" t="str">
        <f ca="1">IFERROR(__xludf.DUMMYFUNCTION("""COMPUTED_VALUE"""),"ASCENDENTE")</f>
        <v>ASCENDENTE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IFERROR(__xludf.DUMMYFUNCTION("""COMPUTED_VALUE"""),0)</f>
        <v>0</v>
      </c>
      <c r="G20" s="48">
        <f ca="1">IFERROR(__xludf.DUMMYFUNCTION("""COMPUTED_VALUE"""),0)</f>
        <v>0</v>
      </c>
      <c r="H20" s="48">
        <f ca="1">IFERROR(__xludf.DUMMYFUNCTION("""COMPUTED_VALUE"""),0)</f>
        <v>0</v>
      </c>
      <c r="I20" s="48">
        <f ca="1">IFERROR(__xludf.DUMMYFUNCTION("""COMPUTED_VALUE"""),0)</f>
        <v>0</v>
      </c>
      <c r="J20" s="48">
        <f ca="1">IFERROR(__xludf.DUMMYFUNCTION("""COMPUTED_VALUE"""),0)</f>
        <v>0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IFERROR(__xludf.DUMMYFUNCTION("""COMPUTED_VALUE"""),0)</f>
        <v>0</v>
      </c>
    </row>
    <row r="21" spans="1:19">
      <c r="A21" s="46" t="str">
        <f ca="1">IFERROR(__xludf.DUMMYFUNCTION("""COMPUTED_VALUE"""),"SUICIDIO")</f>
        <v>SUICIDIO</v>
      </c>
      <c r="B21" s="46">
        <f ca="1">IFERROR(__xludf.DUMMYFUNCTION("""COMPUTED_VALUE"""),1)</f>
        <v>1</v>
      </c>
      <c r="C21" s="46"/>
      <c r="D21" s="46" t="str">
        <f ca="1">IFERROR(__xludf.DUMMYFUNCTION("""COMPUTED_VALUE"""),"ASCENDENTE")</f>
        <v>ASCENDENTE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IFERROR(__xludf.DUMMYFUNCTION("""COMPUTED_VALUE"""),0)</f>
        <v>0</v>
      </c>
      <c r="G21" s="48">
        <f ca="1">IFERROR(__xludf.DUMMYFUNCTION("""COMPUTED_VALUE"""),0)</f>
        <v>0</v>
      </c>
      <c r="H21" s="48">
        <f ca="1">IFERROR(__xludf.DUMMYFUNCTION("""COMPUTED_VALUE"""),0)</f>
        <v>0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IFERROR(__xludf.DUMMYFUNCTION("""COMPUTED_VALUE"""),0)</f>
        <v>0</v>
      </c>
    </row>
    <row r="22" spans="1:19">
      <c r="A22" s="46" t="str">
        <f ca="1">IFERROR(__xludf.DUMMYFUNCTION("""COMPUTED_VALUE"""),"OTROS DELITOS RELACIONADOS CON LA VIDA Y LA INTEGRIDAD FISICA CORPORAL")</f>
        <v>OTROS DELITOS RELACIONADOS CON LA VIDA Y LA INTEGRIDAD FISICA CORPORAL</v>
      </c>
      <c r="B22" s="46">
        <f ca="1">IFERROR(__xludf.DUMMYFUNCTION("""COMPUTED_VALUE"""),1)</f>
        <v>1</v>
      </c>
      <c r="C22" s="46"/>
      <c r="D22" s="46" t="str">
        <f ca="1">IFERROR(__xludf.DUMMYFUNCTION("""COMPUTED_VALUE"""),"ASCENDENTE")</f>
        <v>ASCENDENTE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IFERROR(__xludf.DUMMYFUNCTION("""COMPUTED_VALUE"""),0)</f>
        <v>0</v>
      </c>
      <c r="G22" s="48">
        <f ca="1">IFERROR(__xludf.DUMMYFUNCTION("""COMPUTED_VALUE"""),0)</f>
        <v>0</v>
      </c>
      <c r="H22" s="48">
        <f ca="1">IFERROR(__xludf.DUMMYFUNCTION("""COMPUTED_VALUE"""),0)</f>
        <v>0</v>
      </c>
      <c r="I22" s="48">
        <f ca="1">IFERROR(__xludf.DUMMYFUNCTION("""COMPUTED_VALUE"""),0)</f>
        <v>0</v>
      </c>
      <c r="J22" s="48">
        <f ca="1">IFERROR(__xludf.DUMMYFUNCTION("""COMPUTED_VALUE"""),0)</f>
        <v>0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IFERROR(__xludf.DUMMYFUNCTION("""COMPUTED_VALUE"""),0)</f>
        <v>0</v>
      </c>
      <c r="N22" s="48">
        <f ca="1">IFERROR(__xludf.DUMMYFUNCTION("""COMPUTED_VALUE"""),0)</f>
        <v>0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IFERROR(__xludf.DUMMYFUNCTION("""COMPUTED_VALUE"""),0)</f>
        <v>0</v>
      </c>
    </row>
    <row r="23" spans="1:19">
      <c r="A23" s="46" t="str">
        <f ca="1">IFERROR(__xludf.DUMMYFUNCTION("""COMPUTED_VALUE"""),"DESAPARICIÓN FORZADA")</f>
        <v>DESAPARICIÓN FORZADA</v>
      </c>
      <c r="B23" s="46">
        <f ca="1">IFERROR(__xludf.DUMMYFUNCTION("""COMPUTED_VALUE"""),1)</f>
        <v>1</v>
      </c>
      <c r="C23" s="46"/>
      <c r="D23" s="46" t="str">
        <f ca="1">IFERROR(__xludf.DUMMYFUNCTION("""COMPUTED_VALUE"""),"ASCENDENTE")</f>
        <v>ASCENDENTE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IFERROR(__xludf.DUMMYFUNCTION("""COMPUTED_VALUE"""),0)</f>
        <v>0</v>
      </c>
      <c r="G23" s="48">
        <f ca="1">IFERROR(__xludf.DUMMYFUNCTION("""COMPUTED_VALUE"""),0)</f>
        <v>0</v>
      </c>
      <c r="H23" s="48">
        <f ca="1">IFERROR(__xludf.DUMMYFUNCTION("""COMPUTED_VALUE"""),0)</f>
        <v>0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IFERROR(__xludf.DUMMYFUNCTION("""COMPUTED_VALUE"""),0)</f>
        <v>0</v>
      </c>
      <c r="N23" s="48">
        <f ca="1">IFERROR(__xludf.DUMMYFUNCTION("""COMPUTED_VALUE"""),0)</f>
        <v>0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IFERROR(__xludf.DUMMYFUNCTION("""COMPUTED_VALUE"""),0)</f>
        <v>0</v>
      </c>
      <c r="S23" s="48">
        <f ca="1">IFERROR(__xludf.DUMMYFUNCTION("""COMPUTED_VALUE"""),0)</f>
        <v>0</v>
      </c>
    </row>
    <row r="24" spans="1:19">
      <c r="A24" s="46" t="str">
        <f ca="1">IFERROR(__xludf.DUMMYFUNCTION("""COMPUTED_VALUE"""),"PRIVACIÓN DE LA LIBERTAD")</f>
        <v>PRIVACIÓN DE LA LIBERTAD</v>
      </c>
      <c r="B24" s="46">
        <f ca="1">IFERROR(__xludf.DUMMYFUNCTION("""COMPUTED_VALUE"""),1)</f>
        <v>1</v>
      </c>
      <c r="C24" s="46"/>
      <c r="D24" s="46" t="str">
        <f ca="1">IFERROR(__xludf.DUMMYFUNCTION("""COMPUTED_VALUE"""),"ASCENDENTE")</f>
        <v>ASCENDENTE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IFERROR(__xludf.DUMMYFUNCTION("""COMPUTED_VALUE"""),0)</f>
        <v>0</v>
      </c>
      <c r="G24" s="48">
        <f ca="1">IFERROR(__xludf.DUMMYFUNCTION("""COMPUTED_VALUE"""),0)</f>
        <v>0</v>
      </c>
      <c r="H24" s="48">
        <f ca="1">IFERROR(__xludf.DUMMYFUNCTION("""COMPUTED_VALUE"""),0)</f>
        <v>0</v>
      </c>
      <c r="I24" s="48">
        <f ca="1">IFERROR(__xludf.DUMMYFUNCTION("""COMPUTED_VALUE"""),0)</f>
        <v>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IFERROR(__xludf.DUMMYFUNCTION("""COMPUTED_VALUE"""),0)</f>
        <v>0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IFERROR(__xludf.DUMMYFUNCTION("""COMPUTED_VALUE"""),0)</f>
        <v>0</v>
      </c>
    </row>
    <row r="25" spans="1:19">
      <c r="A25" s="46" t="str">
        <f ca="1">IFERROR(__xludf.DUMMYFUNCTION("""COMPUTED_VALUE"""),"OTROS DELITOS RELACIONADOS CON LA LIBERTAD PERSONAL")</f>
        <v>OTROS DELITOS RELACIONADOS CON LA LIBERTAD PERSONAL</v>
      </c>
      <c r="B25" s="46">
        <f ca="1">IFERROR(__xludf.DUMMYFUNCTION("""COMPUTED_VALUE"""),1)</f>
        <v>1</v>
      </c>
      <c r="C25" s="46"/>
      <c r="D25" s="46" t="str">
        <f ca="1">IFERROR(__xludf.DUMMYFUNCTION("""COMPUTED_VALUE"""),"ASCENDENTE")</f>
        <v>ASCENDENTE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IFERROR(__xludf.DUMMYFUNCTION("""COMPUTED_VALUE"""),0)</f>
        <v>0</v>
      </c>
      <c r="G25" s="48">
        <f ca="1">IFERROR(__xludf.DUMMYFUNCTION("""COMPUTED_VALUE"""),0)</f>
        <v>0</v>
      </c>
      <c r="H25" s="48">
        <f ca="1">IFERROR(__xludf.DUMMYFUNCTION("""COMPUTED_VALUE"""),0)</f>
        <v>0</v>
      </c>
      <c r="I25" s="48">
        <f ca="1">IFERROR(__xludf.DUMMYFUNCTION("""COMPUTED_VALUE"""),0)</f>
        <v>0</v>
      </c>
      <c r="J25" s="48">
        <f ca="1">IFERROR(__xludf.DUMMYFUNCTION("""COMPUTED_VALUE"""),0)</f>
        <v>0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IFERROR(__xludf.DUMMYFUNCTION("""COMPUTED_VALUE"""),0)</f>
        <v>0</v>
      </c>
    </row>
    <row r="26" spans="1:19">
      <c r="A26" s="46" t="str">
        <f ca="1">IFERROR(__xludf.DUMMYFUNCTION("""COMPUTED_VALUE"""),"ABUSO SEXUAL")</f>
        <v>ABUSO SEXUAL</v>
      </c>
      <c r="B26" s="46">
        <f ca="1">IFERROR(__xludf.DUMMYFUNCTION("""COMPUTED_VALUE"""),1)</f>
        <v>1</v>
      </c>
      <c r="C26" s="46"/>
      <c r="D26" s="46" t="str">
        <f ca="1">IFERROR(__xludf.DUMMYFUNCTION("""COMPUTED_VALUE"""),"ASCENDENTE")</f>
        <v>ASCENDENTE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IFERROR(__xludf.DUMMYFUNCTION("""COMPUTED_VALUE"""),0)</f>
        <v>0</v>
      </c>
      <c r="G26" s="48">
        <f ca="1">IFERROR(__xludf.DUMMYFUNCTION("""COMPUTED_VALUE"""),0)</f>
        <v>0</v>
      </c>
      <c r="H26" s="48">
        <f ca="1">IFERROR(__xludf.DUMMYFUNCTION("""COMPUTED_VALUE"""),0)</f>
        <v>0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IFERROR(__xludf.DUMMYFUNCTION("""COMPUTED_VALUE"""),0)</f>
        <v>0</v>
      </c>
      <c r="L26" s="48">
        <f ca="1">IFERROR(__xludf.DUMMYFUNCTION("""COMPUTED_VALUE"""),0)</f>
        <v>0</v>
      </c>
      <c r="M26" s="48">
        <f ca="1">IFERROR(__xludf.DUMMYFUNCTION("""COMPUTED_VALUE"""),0)</f>
        <v>0</v>
      </c>
      <c r="N26" s="48">
        <f ca="1">IFERROR(__xludf.DUMMYFUNCTION("""COMPUTED_VALUE"""),0)</f>
        <v>0</v>
      </c>
      <c r="O26" s="48">
        <f ca="1">IFERROR(__xludf.DUMMYFUNCTION("""COMPUTED_VALUE"""),0)</f>
        <v>0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IFERROR(__xludf.DUMMYFUNCTION("""COMPUTED_VALUE"""),0)</f>
        <v>0</v>
      </c>
    </row>
    <row r="27" spans="1:19">
      <c r="A27" s="46" t="str">
        <f ca="1">IFERROR(__xludf.DUMMYFUNCTION("""COMPUTED_VALUE"""),"VIOLACIÓN")</f>
        <v>VIOLACIÓN</v>
      </c>
      <c r="B27" s="46">
        <f ca="1">IFERROR(__xludf.DUMMYFUNCTION("""COMPUTED_VALUE"""),1)</f>
        <v>1</v>
      </c>
      <c r="C27" s="46"/>
      <c r="D27" s="46" t="str">
        <f ca="1">IFERROR(__xludf.DUMMYFUNCTION("""COMPUTED_VALUE"""),"ASCENDENTE")</f>
        <v>ASCENDENTE</v>
      </c>
      <c r="E27" s="46" t="str">
        <f ca="1">IFERROR(__xludf.DUMMYFUNCTION("""COMPUTED_VALUE"""),"BITACORA OPERATIVA")</f>
        <v>BITACORA OPERATIVA</v>
      </c>
      <c r="F27" s="47">
        <f ca="1">IFERROR(__xludf.DUMMYFUNCTION("""COMPUTED_VALUE"""),0)</f>
        <v>0</v>
      </c>
      <c r="G27" s="48">
        <f ca="1">IFERROR(__xludf.DUMMYFUNCTION("""COMPUTED_VALUE"""),0)</f>
        <v>0</v>
      </c>
      <c r="H27" s="48">
        <f ca="1">IFERROR(__xludf.DUMMYFUNCTION("""COMPUTED_VALUE"""),0)</f>
        <v>0</v>
      </c>
      <c r="I27" s="48">
        <f ca="1">IFERROR(__xludf.DUMMYFUNCTION("""COMPUTED_VALUE"""),0)</f>
        <v>0</v>
      </c>
      <c r="J27" s="48">
        <f ca="1">IFERROR(__xludf.DUMMYFUNCTION("""COMPUTED_VALUE"""),0)</f>
        <v>0</v>
      </c>
      <c r="K27" s="48">
        <f ca="1">IFERROR(__xludf.DUMMYFUNCTION("""COMPUTED_VALUE"""),0)</f>
        <v>0</v>
      </c>
      <c r="L27" s="48">
        <f ca="1">IFERROR(__xludf.DUMMYFUNCTION("""COMPUTED_VALUE"""),0)</f>
        <v>0</v>
      </c>
      <c r="M27" s="48">
        <f ca="1">IFERROR(__xludf.DUMMYFUNCTION("""COMPUTED_VALUE"""),0)</f>
        <v>0</v>
      </c>
      <c r="N27" s="48">
        <f ca="1">IFERROR(__xludf.DUMMYFUNCTION("""COMPUTED_VALUE"""),0)</f>
        <v>0</v>
      </c>
      <c r="O27" s="48">
        <f ca="1">IFERROR(__xludf.DUMMYFUNCTION("""COMPUTED_VALUE"""),0)</f>
        <v>0</v>
      </c>
      <c r="P27" s="48">
        <f ca="1">IFERROR(__xludf.DUMMYFUNCTION("""COMPUTED_VALUE"""),0)</f>
        <v>0</v>
      </c>
      <c r="Q27" s="48">
        <f ca="1">IFERROR(__xludf.DUMMYFUNCTION("""COMPUTED_VALUE"""),0)</f>
        <v>0</v>
      </c>
      <c r="R27" s="48">
        <f ca="1">IFERROR(__xludf.DUMMYFUNCTION("""COMPUTED_VALUE"""),0)</f>
        <v>0</v>
      </c>
      <c r="S27" s="48">
        <f ca="1">IFERROR(__xludf.DUMMYFUNCTION("""COMPUTED_VALUE"""),0)</f>
        <v>0</v>
      </c>
    </row>
    <row r="28" spans="1:19">
      <c r="A28" s="46" t="str">
        <f ca="1">IFERROR(__xludf.DUMMYFUNCTION("""COMPUTED_VALUE"""),"OTROS DELITOS QUE ATENTEN CONTRA LA LIBERTAD Y SEGURIDAD SEXUAL")</f>
        <v>OTROS DELITOS QUE ATENTEN CONTRA LA LIBERTAD Y SEGURIDAD SEXUAL</v>
      </c>
      <c r="B28" s="46">
        <f ca="1">IFERROR(__xludf.DUMMYFUNCTION("""COMPUTED_VALUE"""),1)</f>
        <v>1</v>
      </c>
      <c r="C28" s="46"/>
      <c r="D28" s="46" t="str">
        <f ca="1">IFERROR(__xludf.DUMMYFUNCTION("""COMPUTED_VALUE"""),"ASCENDENTE")</f>
        <v>ASCENDENTE</v>
      </c>
      <c r="E28" s="46" t="str">
        <f ca="1">IFERROR(__xludf.DUMMYFUNCTION("""COMPUTED_VALUE"""),"BITACORA OPERATIVA")</f>
        <v>BITACORA OPERATIVA</v>
      </c>
      <c r="F28" s="47">
        <f ca="1">IFERROR(__xludf.DUMMYFUNCTION("""COMPUTED_VALUE"""),0)</f>
        <v>0</v>
      </c>
      <c r="G28" s="48">
        <f ca="1">IFERROR(__xludf.DUMMYFUNCTION("""COMPUTED_VALUE"""),0)</f>
        <v>0</v>
      </c>
      <c r="H28" s="48">
        <f ca="1">IFERROR(__xludf.DUMMYFUNCTION("""COMPUTED_VALUE"""),0)</f>
        <v>0</v>
      </c>
      <c r="I28" s="48">
        <f ca="1">IFERROR(__xludf.DUMMYFUNCTION("""COMPUTED_VALUE"""),0)</f>
        <v>0</v>
      </c>
      <c r="J28" s="48">
        <f ca="1">IFERROR(__xludf.DUMMYFUNCTION("""COMPUTED_VALUE"""),0)</f>
        <v>0</v>
      </c>
      <c r="K28" s="48">
        <f ca="1">IFERROR(__xludf.DUMMYFUNCTION("""COMPUTED_VALUE"""),0)</f>
        <v>0</v>
      </c>
      <c r="L28" s="48">
        <f ca="1">IFERROR(__xludf.DUMMYFUNCTION("""COMPUTED_VALUE"""),0)</f>
        <v>0</v>
      </c>
      <c r="M28" s="48">
        <f ca="1">IFERROR(__xludf.DUMMYFUNCTION("""COMPUTED_VALUE"""),0)</f>
        <v>0</v>
      </c>
      <c r="N28" s="48">
        <f ca="1">IFERROR(__xludf.DUMMYFUNCTION("""COMPUTED_VALUE"""),0)</f>
        <v>0</v>
      </c>
      <c r="O28" s="48">
        <f ca="1">IFERROR(__xludf.DUMMYFUNCTION("""COMPUTED_VALUE"""),0)</f>
        <v>0</v>
      </c>
      <c r="P28" s="48">
        <f ca="1">IFERROR(__xludf.DUMMYFUNCTION("""COMPUTED_VALUE"""),0)</f>
        <v>0</v>
      </c>
      <c r="Q28" s="48">
        <f ca="1">IFERROR(__xludf.DUMMYFUNCTION("""COMPUTED_VALUE"""),0)</f>
        <v>0</v>
      </c>
      <c r="R28" s="48">
        <f ca="1">IFERROR(__xludf.DUMMYFUNCTION("""COMPUTED_VALUE"""),0)</f>
        <v>0</v>
      </c>
      <c r="S28" s="48">
        <f ca="1">IFERROR(__xludf.DUMMYFUNCTION("""COMPUTED_VALUE"""),0)</f>
        <v>0</v>
      </c>
    </row>
    <row r="29" spans="1:19">
      <c r="A29" s="46" t="str">
        <f ca="1">IFERROR(__xludf.DUMMYFUNCTION("""COMPUTED_VALUE"""),"ROBO SIMPLE")</f>
        <v>ROBO SIMPLE</v>
      </c>
      <c r="B29" s="46">
        <f ca="1">IFERROR(__xludf.DUMMYFUNCTION("""COMPUTED_VALUE"""),1)</f>
        <v>1</v>
      </c>
      <c r="C29" s="46"/>
      <c r="D29" s="46" t="str">
        <f ca="1">IFERROR(__xludf.DUMMYFUNCTION("""COMPUTED_VALUE"""),"ASCENDENTE")</f>
        <v>ASCENDENTE</v>
      </c>
      <c r="E29" s="46" t="str">
        <f ca="1">IFERROR(__xludf.DUMMYFUNCTION("""COMPUTED_VALUE"""),"BITACORA OPERATIVA")</f>
        <v>BITACORA OPERATIVA</v>
      </c>
      <c r="F29" s="47">
        <f ca="1">IFERROR(__xludf.DUMMYFUNCTION("""COMPUTED_VALUE"""),0)</f>
        <v>0</v>
      </c>
      <c r="G29" s="48">
        <f ca="1">IFERROR(__xludf.DUMMYFUNCTION("""COMPUTED_VALUE"""),0)</f>
        <v>0</v>
      </c>
      <c r="H29" s="48">
        <f ca="1">IFERROR(__xludf.DUMMYFUNCTION("""COMPUTED_VALUE"""),0)</f>
        <v>0</v>
      </c>
      <c r="I29" s="48">
        <f ca="1">IFERROR(__xludf.DUMMYFUNCTION("""COMPUTED_VALUE"""),0)</f>
        <v>0</v>
      </c>
      <c r="J29" s="48">
        <f ca="1">IFERROR(__xludf.DUMMYFUNCTION("""COMPUTED_VALUE"""),0)</f>
        <v>0</v>
      </c>
      <c r="K29" s="48">
        <f ca="1">IFERROR(__xludf.DUMMYFUNCTION("""COMPUTED_VALUE"""),0)</f>
        <v>0</v>
      </c>
      <c r="L29" s="48">
        <f ca="1">IFERROR(__xludf.DUMMYFUNCTION("""COMPUTED_VALUE"""),0)</f>
        <v>0</v>
      </c>
      <c r="M29" s="48">
        <f ca="1">IFERROR(__xludf.DUMMYFUNCTION("""COMPUTED_VALUE"""),0)</f>
        <v>0</v>
      </c>
      <c r="N29" s="48">
        <f ca="1">IFERROR(__xludf.DUMMYFUNCTION("""COMPUTED_VALUE"""),0)</f>
        <v>0</v>
      </c>
      <c r="O29" s="48">
        <f ca="1">IFERROR(__xludf.DUMMYFUNCTION("""COMPUTED_VALUE"""),0)</f>
        <v>0</v>
      </c>
      <c r="P29" s="48">
        <f ca="1">IFERROR(__xludf.DUMMYFUNCTION("""COMPUTED_VALUE"""),0)</f>
        <v>0</v>
      </c>
      <c r="Q29" s="48">
        <f ca="1">IFERROR(__xludf.DUMMYFUNCTION("""COMPUTED_VALUE"""),0)</f>
        <v>0</v>
      </c>
      <c r="R29" s="48">
        <f ca="1">IFERROR(__xludf.DUMMYFUNCTION("""COMPUTED_VALUE"""),0)</f>
        <v>0</v>
      </c>
      <c r="S29" s="48">
        <f ca="1">IFERROR(__xludf.DUMMYFUNCTION("""COMPUTED_VALUE"""),0)</f>
        <v>0</v>
      </c>
    </row>
    <row r="30" spans="1:19">
      <c r="A30" s="46" t="str">
        <f ca="1">IFERROR(__xludf.DUMMYFUNCTION("""COMPUTED_VALUE"""),"ROBO A CASA HABITACIÓN")</f>
        <v>ROBO A CASA HABITACIÓN</v>
      </c>
      <c r="B30" s="46">
        <f ca="1">IFERROR(__xludf.DUMMYFUNCTION("""COMPUTED_VALUE"""),1)</f>
        <v>1</v>
      </c>
      <c r="C30" s="46"/>
      <c r="D30" s="46" t="str">
        <f ca="1">IFERROR(__xludf.DUMMYFUNCTION("""COMPUTED_VALUE"""),"ASCENDENTE")</f>
        <v>ASCENDENTE</v>
      </c>
      <c r="E30" s="46" t="str">
        <f ca="1">IFERROR(__xludf.DUMMYFUNCTION("""COMPUTED_VALUE"""),"BITACORA OPERATIVA")</f>
        <v>BITACORA OPERATIVA</v>
      </c>
      <c r="F30" s="47">
        <f ca="1">IFERROR(__xludf.DUMMYFUNCTION("""COMPUTED_VALUE"""),0)</f>
        <v>0</v>
      </c>
      <c r="G30" s="48">
        <f ca="1">IFERROR(__xludf.DUMMYFUNCTION("""COMPUTED_VALUE"""),0)</f>
        <v>0</v>
      </c>
      <c r="H30" s="48">
        <f ca="1">IFERROR(__xludf.DUMMYFUNCTION("""COMPUTED_VALUE"""),0)</f>
        <v>0</v>
      </c>
      <c r="I30" s="48">
        <f ca="1">IFERROR(__xludf.DUMMYFUNCTION("""COMPUTED_VALUE"""),0)</f>
        <v>0</v>
      </c>
      <c r="J30" s="48">
        <f ca="1">IFERROR(__xludf.DUMMYFUNCTION("""COMPUTED_VALUE"""),0)</f>
        <v>0</v>
      </c>
      <c r="K30" s="48">
        <f ca="1">IFERROR(__xludf.DUMMYFUNCTION("""COMPUTED_VALUE"""),0)</f>
        <v>0</v>
      </c>
      <c r="L30" s="48">
        <f ca="1">IFERROR(__xludf.DUMMYFUNCTION("""COMPUTED_VALUE"""),0)</f>
        <v>0</v>
      </c>
      <c r="M30" s="48">
        <f ca="1">IFERROR(__xludf.DUMMYFUNCTION("""COMPUTED_VALUE"""),0)</f>
        <v>0</v>
      </c>
      <c r="N30" s="48">
        <f ca="1">IFERROR(__xludf.DUMMYFUNCTION("""COMPUTED_VALUE"""),0)</f>
        <v>0</v>
      </c>
      <c r="O30" s="48">
        <f ca="1">IFERROR(__xludf.DUMMYFUNCTION("""COMPUTED_VALUE"""),0)</f>
        <v>0</v>
      </c>
      <c r="P30" s="48">
        <f ca="1">IFERROR(__xludf.DUMMYFUNCTION("""COMPUTED_VALUE"""),0)</f>
        <v>0</v>
      </c>
      <c r="Q30" s="48">
        <f ca="1">IFERROR(__xludf.DUMMYFUNCTION("""COMPUTED_VALUE"""),0)</f>
        <v>0</v>
      </c>
      <c r="R30" s="48">
        <f ca="1">IFERROR(__xludf.DUMMYFUNCTION("""COMPUTED_VALUE"""),0)</f>
        <v>0</v>
      </c>
      <c r="S30" s="48">
        <f ca="1">IFERROR(__xludf.DUMMYFUNCTION("""COMPUTED_VALUE"""),0)</f>
        <v>0</v>
      </c>
    </row>
    <row r="31" spans="1:19">
      <c r="A31" s="46" t="str">
        <f ca="1">IFERROR(__xludf.DUMMYFUNCTION("""COMPUTED_VALUE"""),"ROBO A MOTOCICLETA")</f>
        <v>ROBO A MOTOCICLETA</v>
      </c>
      <c r="B31" s="46">
        <f ca="1">IFERROR(__xludf.DUMMYFUNCTION("""COMPUTED_VALUE"""),1)</f>
        <v>1</v>
      </c>
      <c r="C31" s="46"/>
      <c r="D31" s="46" t="str">
        <f ca="1">IFERROR(__xludf.DUMMYFUNCTION("""COMPUTED_VALUE"""),"ASCENDENTE")</f>
        <v>ASCENDENTE</v>
      </c>
      <c r="E31" s="46" t="str">
        <f ca="1">IFERROR(__xludf.DUMMYFUNCTION("""COMPUTED_VALUE"""),"BITACORA OPERATIVA")</f>
        <v>BITACORA OPERATIVA</v>
      </c>
      <c r="F31" s="47">
        <f ca="1">IFERROR(__xludf.DUMMYFUNCTION("""COMPUTED_VALUE"""),0)</f>
        <v>0</v>
      </c>
      <c r="G31" s="48">
        <f ca="1">IFERROR(__xludf.DUMMYFUNCTION("""COMPUTED_VALUE"""),0)</f>
        <v>0</v>
      </c>
      <c r="H31" s="48">
        <f ca="1">IFERROR(__xludf.DUMMYFUNCTION("""COMPUTED_VALUE"""),0)</f>
        <v>0</v>
      </c>
      <c r="I31" s="48">
        <f ca="1">IFERROR(__xludf.DUMMYFUNCTION("""COMPUTED_VALUE"""),0)</f>
        <v>0</v>
      </c>
      <c r="J31" s="48">
        <f ca="1">IFERROR(__xludf.DUMMYFUNCTION("""COMPUTED_VALUE"""),0)</f>
        <v>0</v>
      </c>
      <c r="K31" s="48">
        <f ca="1">IFERROR(__xludf.DUMMYFUNCTION("""COMPUTED_VALUE"""),0)</f>
        <v>0</v>
      </c>
      <c r="L31" s="48">
        <f ca="1">IFERROR(__xludf.DUMMYFUNCTION("""COMPUTED_VALUE"""),0)</f>
        <v>0</v>
      </c>
      <c r="M31" s="48">
        <f ca="1">IFERROR(__xludf.DUMMYFUNCTION("""COMPUTED_VALUE"""),0)</f>
        <v>0</v>
      </c>
      <c r="N31" s="48">
        <f ca="1">IFERROR(__xludf.DUMMYFUNCTION("""COMPUTED_VALUE"""),0)</f>
        <v>0</v>
      </c>
      <c r="O31" s="48">
        <f ca="1">IFERROR(__xludf.DUMMYFUNCTION("""COMPUTED_VALUE"""),0)</f>
        <v>0</v>
      </c>
      <c r="P31" s="48">
        <f ca="1">IFERROR(__xludf.DUMMYFUNCTION("""COMPUTED_VALUE"""),0)</f>
        <v>0</v>
      </c>
      <c r="Q31" s="48">
        <f ca="1">IFERROR(__xludf.DUMMYFUNCTION("""COMPUTED_VALUE"""),0)</f>
        <v>0</v>
      </c>
      <c r="R31" s="48">
        <f ca="1">IFERROR(__xludf.DUMMYFUNCTION("""COMPUTED_VALUE"""),0)</f>
        <v>0</v>
      </c>
      <c r="S31" s="48">
        <f ca="1">IFERROR(__xludf.DUMMYFUNCTION("""COMPUTED_VALUE"""),0)</f>
        <v>0</v>
      </c>
    </row>
    <row r="32" spans="1:19">
      <c r="A32" s="46" t="str">
        <f ca="1">IFERROR(__xludf.DUMMYFUNCTION("""COMPUTED_VALUE"""),"ROBO A VEHICULOS")</f>
        <v>ROBO A VEHICULOS</v>
      </c>
      <c r="B32" s="46">
        <f ca="1">IFERROR(__xludf.DUMMYFUNCTION("""COMPUTED_VALUE"""),1)</f>
        <v>1</v>
      </c>
      <c r="C32" s="46"/>
      <c r="D32" s="46" t="str">
        <f ca="1">IFERROR(__xludf.DUMMYFUNCTION("""COMPUTED_VALUE"""),"ASCENDENTE")</f>
        <v>ASCENDENTE</v>
      </c>
      <c r="E32" s="46" t="str">
        <f ca="1">IFERROR(__xludf.DUMMYFUNCTION("""COMPUTED_VALUE"""),"BITACORA OPERATIVA")</f>
        <v>BITACORA OPERATIVA</v>
      </c>
      <c r="F32" s="47">
        <f ca="1">IFERROR(__xludf.DUMMYFUNCTION("""COMPUTED_VALUE"""),0)</f>
        <v>0</v>
      </c>
      <c r="G32" s="48">
        <f ca="1">IFERROR(__xludf.DUMMYFUNCTION("""COMPUTED_VALUE"""),0)</f>
        <v>0</v>
      </c>
      <c r="H32" s="48">
        <f ca="1">IFERROR(__xludf.DUMMYFUNCTION("""COMPUTED_VALUE"""),0)</f>
        <v>0</v>
      </c>
      <c r="I32" s="48">
        <f ca="1">IFERROR(__xludf.DUMMYFUNCTION("""COMPUTED_VALUE"""),0)</f>
        <v>0</v>
      </c>
      <c r="J32" s="48">
        <f ca="1">IFERROR(__xludf.DUMMYFUNCTION("""COMPUTED_VALUE"""),0)</f>
        <v>0</v>
      </c>
      <c r="K32" s="48">
        <f ca="1">IFERROR(__xludf.DUMMYFUNCTION("""COMPUTED_VALUE"""),0)</f>
        <v>0</v>
      </c>
      <c r="L32" s="48">
        <f ca="1">IFERROR(__xludf.DUMMYFUNCTION("""COMPUTED_VALUE"""),0)</f>
        <v>0</v>
      </c>
      <c r="M32" s="48">
        <f ca="1">IFERROR(__xludf.DUMMYFUNCTION("""COMPUTED_VALUE"""),0)</f>
        <v>0</v>
      </c>
      <c r="N32" s="48">
        <f ca="1">IFERROR(__xludf.DUMMYFUNCTION("""COMPUTED_VALUE"""),0)</f>
        <v>0</v>
      </c>
      <c r="O32" s="48">
        <f ca="1">IFERROR(__xludf.DUMMYFUNCTION("""COMPUTED_VALUE"""),0)</f>
        <v>0</v>
      </c>
      <c r="P32" s="48">
        <f ca="1">IFERROR(__xludf.DUMMYFUNCTION("""COMPUTED_VALUE"""),0)</f>
        <v>0</v>
      </c>
      <c r="Q32" s="48">
        <f ca="1">IFERROR(__xludf.DUMMYFUNCTION("""COMPUTED_VALUE"""),0)</f>
        <v>0</v>
      </c>
      <c r="R32" s="48">
        <f ca="1">IFERROR(__xludf.DUMMYFUNCTION("""COMPUTED_VALUE"""),0)</f>
        <v>0</v>
      </c>
      <c r="S32" s="48">
        <f ca="1">IFERROR(__xludf.DUMMYFUNCTION("""COMPUTED_VALUE"""),0)</f>
        <v>0</v>
      </c>
    </row>
    <row r="33" spans="1:19">
      <c r="A33" s="46" t="str">
        <f ca="1">IFERROR(__xludf.DUMMYFUNCTION("""COMPUTED_VALUE"""),"OTROS ROBOS")</f>
        <v>OTROS ROBOS</v>
      </c>
      <c r="B33" s="46">
        <f ca="1">IFERROR(__xludf.DUMMYFUNCTION("""COMPUTED_VALUE"""),1)</f>
        <v>1</v>
      </c>
      <c r="C33" s="46"/>
      <c r="D33" s="46" t="str">
        <f ca="1">IFERROR(__xludf.DUMMYFUNCTION("""COMPUTED_VALUE"""),"ASCENDENTE")</f>
        <v>ASCENDENTE</v>
      </c>
      <c r="E33" s="46" t="str">
        <f ca="1">IFERROR(__xludf.DUMMYFUNCTION("""COMPUTED_VALUE"""),"BITACORA OPERATIVA")</f>
        <v>BITACORA OPERATIVA</v>
      </c>
      <c r="F33" s="47">
        <f ca="1">IFERROR(__xludf.DUMMYFUNCTION("""COMPUTED_VALUE"""),0)</f>
        <v>0</v>
      </c>
      <c r="G33" s="48">
        <f ca="1">IFERROR(__xludf.DUMMYFUNCTION("""COMPUTED_VALUE"""),0)</f>
        <v>0</v>
      </c>
      <c r="H33" s="48">
        <f ca="1">IFERROR(__xludf.DUMMYFUNCTION("""COMPUTED_VALUE"""),0)</f>
        <v>0</v>
      </c>
      <c r="I33" s="48">
        <f ca="1">IFERROR(__xludf.DUMMYFUNCTION("""COMPUTED_VALUE"""),0)</f>
        <v>0</v>
      </c>
      <c r="J33" s="48">
        <f ca="1">IFERROR(__xludf.DUMMYFUNCTION("""COMPUTED_VALUE"""),0)</f>
        <v>0</v>
      </c>
      <c r="K33" s="48">
        <f ca="1">IFERROR(__xludf.DUMMYFUNCTION("""COMPUTED_VALUE"""),0)</f>
        <v>0</v>
      </c>
      <c r="L33" s="48">
        <f ca="1">IFERROR(__xludf.DUMMYFUNCTION("""COMPUTED_VALUE"""),0)</f>
        <v>0</v>
      </c>
      <c r="M33" s="48">
        <f ca="1">IFERROR(__xludf.DUMMYFUNCTION("""COMPUTED_VALUE"""),0)</f>
        <v>0</v>
      </c>
      <c r="N33" s="48">
        <f ca="1">IFERROR(__xludf.DUMMYFUNCTION("""COMPUTED_VALUE"""),0)</f>
        <v>0</v>
      </c>
      <c r="O33" s="48">
        <f ca="1">IFERROR(__xludf.DUMMYFUNCTION("""COMPUTED_VALUE"""),0)</f>
        <v>0</v>
      </c>
      <c r="P33" s="48">
        <f ca="1">IFERROR(__xludf.DUMMYFUNCTION("""COMPUTED_VALUE"""),0)</f>
        <v>0</v>
      </c>
      <c r="Q33" s="48">
        <f ca="1">IFERROR(__xludf.DUMMYFUNCTION("""COMPUTED_VALUE"""),0)</f>
        <v>0</v>
      </c>
      <c r="R33" s="48">
        <f ca="1">IFERROR(__xludf.DUMMYFUNCTION("""COMPUTED_VALUE"""),0)</f>
        <v>0</v>
      </c>
      <c r="S33" s="48">
        <f ca="1">IFERROR(__xludf.DUMMYFUNCTION("""COMPUTED_VALUE"""),0)</f>
        <v>0</v>
      </c>
    </row>
    <row r="34" spans="1:19">
      <c r="A34" s="46" t="str">
        <f ca="1">IFERROR(__xludf.DUMMYFUNCTION("""COMPUTED_VALUE"""),"REPORTES VIOLENCIA INTRAFAMILIAR")</f>
        <v>REPORTES VIOLENCIA INTRAFAMILIAR</v>
      </c>
      <c r="B34" s="46">
        <f ca="1">IFERROR(__xludf.DUMMYFUNCTION("""COMPUTED_VALUE"""),1)</f>
        <v>1</v>
      </c>
      <c r="C34" s="46"/>
      <c r="D34" s="46" t="str">
        <f ca="1">IFERROR(__xludf.DUMMYFUNCTION("""COMPUTED_VALUE"""),"ASCENDENTE")</f>
        <v>ASCENDENTE</v>
      </c>
      <c r="E34" s="46" t="str">
        <f ca="1">IFERROR(__xludf.DUMMYFUNCTION("""COMPUTED_VALUE"""),"BITACORA OPERATIVA")</f>
        <v>BITACORA OPERATIVA</v>
      </c>
      <c r="F34" s="47">
        <f ca="1">IFERROR(__xludf.DUMMYFUNCTION("""COMPUTED_VALUE"""),0)</f>
        <v>0</v>
      </c>
      <c r="G34" s="48">
        <f ca="1">IFERROR(__xludf.DUMMYFUNCTION("""COMPUTED_VALUE"""),0)</f>
        <v>0</v>
      </c>
      <c r="H34" s="48">
        <f ca="1">IFERROR(__xludf.DUMMYFUNCTION("""COMPUTED_VALUE"""),0)</f>
        <v>0</v>
      </c>
      <c r="I34" s="48">
        <f ca="1">IFERROR(__xludf.DUMMYFUNCTION("""COMPUTED_VALUE"""),0)</f>
        <v>0</v>
      </c>
      <c r="J34" s="48">
        <f ca="1">IFERROR(__xludf.DUMMYFUNCTION("""COMPUTED_VALUE"""),0)</f>
        <v>0</v>
      </c>
      <c r="K34" s="48">
        <f ca="1">IFERROR(__xludf.DUMMYFUNCTION("""COMPUTED_VALUE"""),0)</f>
        <v>0</v>
      </c>
      <c r="L34" s="48">
        <f ca="1">IFERROR(__xludf.DUMMYFUNCTION("""COMPUTED_VALUE"""),0)</f>
        <v>0</v>
      </c>
      <c r="M34" s="48">
        <f ca="1">IFERROR(__xludf.DUMMYFUNCTION("""COMPUTED_VALUE"""),0)</f>
        <v>0</v>
      </c>
      <c r="N34" s="48">
        <f ca="1">IFERROR(__xludf.DUMMYFUNCTION("""COMPUTED_VALUE"""),0)</f>
        <v>0</v>
      </c>
      <c r="O34" s="48">
        <f ca="1">IFERROR(__xludf.DUMMYFUNCTION("""COMPUTED_VALUE"""),0)</f>
        <v>0</v>
      </c>
      <c r="P34" s="48">
        <f ca="1">IFERROR(__xludf.DUMMYFUNCTION("""COMPUTED_VALUE"""),0)</f>
        <v>0</v>
      </c>
      <c r="Q34" s="48">
        <f ca="1">IFERROR(__xludf.DUMMYFUNCTION("""COMPUTED_VALUE"""),0)</f>
        <v>0</v>
      </c>
      <c r="R34" s="48">
        <f ca="1">IFERROR(__xludf.DUMMYFUNCTION("""COMPUTED_VALUE"""),0)</f>
        <v>0</v>
      </c>
      <c r="S34" s="48">
        <f ca="1">IFERROR(__xludf.DUMMYFUNCTION("""COMPUTED_VALUE"""),0)</f>
        <v>0</v>
      </c>
    </row>
    <row r="35" spans="1:19">
      <c r="A35" s="46" t="str">
        <f ca="1">IFERROR(__xludf.DUMMYFUNCTION("""COMPUTED_VALUE"""),"OTROS DELITOS CONTRA LA FAMILIA")</f>
        <v>OTROS DELITOS CONTRA LA FAMILIA</v>
      </c>
      <c r="B35" s="46">
        <f ca="1">IFERROR(__xludf.DUMMYFUNCTION("""COMPUTED_VALUE"""),1)</f>
        <v>1</v>
      </c>
      <c r="C35" s="46"/>
      <c r="D35" s="46" t="str">
        <f ca="1">IFERROR(__xludf.DUMMYFUNCTION("""COMPUTED_VALUE"""),"ASCENDENTE")</f>
        <v>ASCENDENTE</v>
      </c>
      <c r="E35" s="46" t="str">
        <f ca="1">IFERROR(__xludf.DUMMYFUNCTION("""COMPUTED_VALUE"""),"BITACORA OPERATIVA")</f>
        <v>BITACORA OPERATIVA</v>
      </c>
      <c r="F35" s="47">
        <f ca="1">IFERROR(__xludf.DUMMYFUNCTION("""COMPUTED_VALUE"""),0)</f>
        <v>0</v>
      </c>
      <c r="G35" s="48">
        <f ca="1">IFERROR(__xludf.DUMMYFUNCTION("""COMPUTED_VALUE"""),0)</f>
        <v>0</v>
      </c>
      <c r="H35" s="48">
        <f ca="1">IFERROR(__xludf.DUMMYFUNCTION("""COMPUTED_VALUE"""),0)</f>
        <v>0</v>
      </c>
      <c r="I35" s="48">
        <f ca="1">IFERROR(__xludf.DUMMYFUNCTION("""COMPUTED_VALUE"""),0)</f>
        <v>0</v>
      </c>
      <c r="J35" s="48">
        <f ca="1">IFERROR(__xludf.DUMMYFUNCTION("""COMPUTED_VALUE"""),0)</f>
        <v>0</v>
      </c>
      <c r="K35" s="48">
        <f ca="1">IFERROR(__xludf.DUMMYFUNCTION("""COMPUTED_VALUE"""),0)</f>
        <v>0</v>
      </c>
      <c r="L35" s="48">
        <f ca="1">IFERROR(__xludf.DUMMYFUNCTION("""COMPUTED_VALUE"""),0)</f>
        <v>0</v>
      </c>
      <c r="M35" s="48">
        <f ca="1">IFERROR(__xludf.DUMMYFUNCTION("""COMPUTED_VALUE"""),0)</f>
        <v>0</v>
      </c>
      <c r="N35" s="48">
        <f ca="1">IFERROR(__xludf.DUMMYFUNCTION("""COMPUTED_VALUE"""),0)</f>
        <v>0</v>
      </c>
      <c r="O35" s="48">
        <f ca="1">IFERROR(__xludf.DUMMYFUNCTION("""COMPUTED_VALUE"""),0)</f>
        <v>0</v>
      </c>
      <c r="P35" s="48">
        <f ca="1">IFERROR(__xludf.DUMMYFUNCTION("""COMPUTED_VALUE"""),0)</f>
        <v>0</v>
      </c>
      <c r="Q35" s="48">
        <f ca="1">IFERROR(__xludf.DUMMYFUNCTION("""COMPUTED_VALUE"""),0)</f>
        <v>0</v>
      </c>
      <c r="R35" s="48">
        <f ca="1">IFERROR(__xludf.DUMMYFUNCTION("""COMPUTED_VALUE"""),0)</f>
        <v>0</v>
      </c>
      <c r="S35" s="48">
        <f ca="1">IFERROR(__xludf.DUMMYFUNCTION("""COMPUTED_VALUE"""),0)</f>
        <v>0</v>
      </c>
    </row>
    <row r="36" spans="1:19">
      <c r="A36" s="46" t="str">
        <f ca="1">IFERROR(__xludf.DUMMYFUNCTION("""COMPUTED_VALUE"""),"SANCIONES A MOTOCICLETAS")</f>
        <v>SANCIONES A MOTOCICLETAS</v>
      </c>
      <c r="B36" s="46">
        <f ca="1">IFERROR(__xludf.DUMMYFUNCTION("""COMPUTED_VALUE"""),1)</f>
        <v>1</v>
      </c>
      <c r="C36" s="46"/>
      <c r="D36" s="46" t="str">
        <f ca="1">IFERROR(__xludf.DUMMYFUNCTION("""COMPUTED_VALUE"""),"ASCENDENTE")</f>
        <v>ASCENDENTE</v>
      </c>
      <c r="E36" s="46" t="str">
        <f ca="1">IFERROR(__xludf.DUMMYFUNCTION("""COMPUTED_VALUE"""),"BITACORA OPERATIVA")</f>
        <v>BITACORA OPERATIVA</v>
      </c>
      <c r="F36" s="47">
        <f ca="1">IFERROR(__xludf.DUMMYFUNCTION("""COMPUTED_VALUE"""),0)</f>
        <v>0</v>
      </c>
      <c r="G36" s="48">
        <f ca="1">IFERROR(__xludf.DUMMYFUNCTION("""COMPUTED_VALUE"""),0)</f>
        <v>0</v>
      </c>
      <c r="H36" s="48">
        <f ca="1">IFERROR(__xludf.DUMMYFUNCTION("""COMPUTED_VALUE"""),0)</f>
        <v>0</v>
      </c>
      <c r="I36" s="48">
        <f ca="1">IFERROR(__xludf.DUMMYFUNCTION("""COMPUTED_VALUE"""),0)</f>
        <v>0</v>
      </c>
      <c r="J36" s="48">
        <f ca="1">IFERROR(__xludf.DUMMYFUNCTION("""COMPUTED_VALUE"""),0)</f>
        <v>0</v>
      </c>
      <c r="K36" s="48">
        <f ca="1">IFERROR(__xludf.DUMMYFUNCTION("""COMPUTED_VALUE"""),0)</f>
        <v>0</v>
      </c>
      <c r="L36" s="48">
        <f ca="1">IFERROR(__xludf.DUMMYFUNCTION("""COMPUTED_VALUE"""),0)</f>
        <v>0</v>
      </c>
      <c r="M36" s="48">
        <f ca="1">IFERROR(__xludf.DUMMYFUNCTION("""COMPUTED_VALUE"""),0)</f>
        <v>0</v>
      </c>
      <c r="N36" s="48">
        <f ca="1">IFERROR(__xludf.DUMMYFUNCTION("""COMPUTED_VALUE"""),0)</f>
        <v>0</v>
      </c>
      <c r="O36" s="48">
        <f ca="1">IFERROR(__xludf.DUMMYFUNCTION("""COMPUTED_VALUE"""),0)</f>
        <v>0</v>
      </c>
      <c r="P36" s="48">
        <f ca="1">IFERROR(__xludf.DUMMYFUNCTION("""COMPUTED_VALUE"""),0)</f>
        <v>0</v>
      </c>
      <c r="Q36" s="48">
        <f ca="1">IFERROR(__xludf.DUMMYFUNCTION("""COMPUTED_VALUE"""),0)</f>
        <v>0</v>
      </c>
      <c r="R36" s="48">
        <f ca="1">IFERROR(__xludf.DUMMYFUNCTION("""COMPUTED_VALUE"""),0)</f>
        <v>0</v>
      </c>
      <c r="S36" s="48">
        <f ca="1">IFERROR(__xludf.DUMMYFUNCTION("""COMPUTED_VALUE"""),0)</f>
        <v>0</v>
      </c>
    </row>
    <row r="37" spans="1:19">
      <c r="A37" s="46" t="str">
        <f ca="1">IFERROR(__xludf.DUMMYFUNCTION("""COMPUTED_VALUE"""),"SANCIONES A AUTOMÓVILES")</f>
        <v>SANCIONES A AUTOMÓVILES</v>
      </c>
      <c r="B37" s="46">
        <f ca="1">IFERROR(__xludf.DUMMYFUNCTION("""COMPUTED_VALUE"""),1)</f>
        <v>1</v>
      </c>
      <c r="C37" s="46"/>
      <c r="D37" s="46" t="str">
        <f ca="1">IFERROR(__xludf.DUMMYFUNCTION("""COMPUTED_VALUE"""),"ASCENDENTE")</f>
        <v>ASCENDENTE</v>
      </c>
      <c r="E37" s="46" t="str">
        <f ca="1">IFERROR(__xludf.DUMMYFUNCTION("""COMPUTED_VALUE"""),"BITACORA OPERATIVA")</f>
        <v>BITACORA OPERATIVA</v>
      </c>
      <c r="F37" s="47">
        <f ca="1">IFERROR(__xludf.DUMMYFUNCTION("""COMPUTED_VALUE"""),0)</f>
        <v>0</v>
      </c>
      <c r="G37" s="48">
        <f ca="1">IFERROR(__xludf.DUMMYFUNCTION("""COMPUTED_VALUE"""),0)</f>
        <v>0</v>
      </c>
      <c r="H37" s="48">
        <f ca="1">IFERROR(__xludf.DUMMYFUNCTION("""COMPUTED_VALUE"""),0)</f>
        <v>0</v>
      </c>
      <c r="I37" s="48">
        <f ca="1">IFERROR(__xludf.DUMMYFUNCTION("""COMPUTED_VALUE"""),0)</f>
        <v>0</v>
      </c>
      <c r="J37" s="48">
        <f ca="1">IFERROR(__xludf.DUMMYFUNCTION("""COMPUTED_VALUE"""),0)</f>
        <v>0</v>
      </c>
      <c r="K37" s="48">
        <f ca="1">IFERROR(__xludf.DUMMYFUNCTION("""COMPUTED_VALUE"""),0)</f>
        <v>0</v>
      </c>
      <c r="L37" s="48">
        <f ca="1">IFERROR(__xludf.DUMMYFUNCTION("""COMPUTED_VALUE"""),0)</f>
        <v>0</v>
      </c>
      <c r="M37" s="48">
        <f ca="1">IFERROR(__xludf.DUMMYFUNCTION("""COMPUTED_VALUE"""),0)</f>
        <v>0</v>
      </c>
      <c r="N37" s="48">
        <f ca="1">IFERROR(__xludf.DUMMYFUNCTION("""COMPUTED_VALUE"""),0)</f>
        <v>0</v>
      </c>
      <c r="O37" s="48">
        <f ca="1">IFERROR(__xludf.DUMMYFUNCTION("""COMPUTED_VALUE"""),0)</f>
        <v>0</v>
      </c>
      <c r="P37" s="48">
        <f ca="1">IFERROR(__xludf.DUMMYFUNCTION("""COMPUTED_VALUE"""),0)</f>
        <v>0</v>
      </c>
      <c r="Q37" s="48">
        <f ca="1">IFERROR(__xludf.DUMMYFUNCTION("""COMPUTED_VALUE"""),0)</f>
        <v>0</v>
      </c>
      <c r="R37" s="48">
        <f ca="1">IFERROR(__xludf.DUMMYFUNCTION("""COMPUTED_VALUE"""),0)</f>
        <v>0</v>
      </c>
      <c r="S37" s="48">
        <f ca="1">IFERROR(__xludf.DUMMYFUNCTION("""COMPUTED_VALUE"""),0)</f>
        <v>0</v>
      </c>
    </row>
    <row r="38" spans="1:19">
      <c r="A38" s="46" t="str">
        <f ca="1">IFERROR(__xludf.DUMMYFUNCTION("""COMPUTED_VALUE"""),"SANCIONES A VEHÍCULOS DE CARGA PESADA ")</f>
        <v xml:space="preserve">SANCIONES A VEHÍCULOS DE CARGA PESADA </v>
      </c>
      <c r="B38" s="46">
        <f ca="1">IFERROR(__xludf.DUMMYFUNCTION("""COMPUTED_VALUE"""),1)</f>
        <v>1</v>
      </c>
      <c r="C38" s="46"/>
      <c r="D38" s="46" t="str">
        <f ca="1">IFERROR(__xludf.DUMMYFUNCTION("""COMPUTED_VALUE"""),"ASCENDENTE")</f>
        <v>ASCENDENTE</v>
      </c>
      <c r="E38" s="46" t="str">
        <f ca="1">IFERROR(__xludf.DUMMYFUNCTION("""COMPUTED_VALUE"""),"BITACORA OPERATIVA")</f>
        <v>BITACORA OPERATIVA</v>
      </c>
      <c r="F38" s="47">
        <f ca="1">IFERROR(__xludf.DUMMYFUNCTION("""COMPUTED_VALUE"""),0)</f>
        <v>0</v>
      </c>
      <c r="G38" s="48">
        <f ca="1">IFERROR(__xludf.DUMMYFUNCTION("""COMPUTED_VALUE"""),0)</f>
        <v>0</v>
      </c>
      <c r="H38" s="48">
        <f ca="1">IFERROR(__xludf.DUMMYFUNCTION("""COMPUTED_VALUE"""),0)</f>
        <v>0</v>
      </c>
      <c r="I38" s="48">
        <f ca="1">IFERROR(__xludf.DUMMYFUNCTION("""COMPUTED_VALUE"""),0)</f>
        <v>0</v>
      </c>
      <c r="J38" s="48">
        <f ca="1">IFERROR(__xludf.DUMMYFUNCTION("""COMPUTED_VALUE"""),0)</f>
        <v>0</v>
      </c>
      <c r="K38" s="48">
        <f ca="1">IFERROR(__xludf.DUMMYFUNCTION("""COMPUTED_VALUE"""),0)</f>
        <v>0</v>
      </c>
      <c r="L38" s="48">
        <f ca="1">IFERROR(__xludf.DUMMYFUNCTION("""COMPUTED_VALUE"""),0)</f>
        <v>0</v>
      </c>
      <c r="M38" s="48">
        <f ca="1">IFERROR(__xludf.DUMMYFUNCTION("""COMPUTED_VALUE"""),0)</f>
        <v>0</v>
      </c>
      <c r="N38" s="48">
        <f ca="1">IFERROR(__xludf.DUMMYFUNCTION("""COMPUTED_VALUE"""),0)</f>
        <v>0</v>
      </c>
      <c r="O38" s="48">
        <f ca="1">IFERROR(__xludf.DUMMYFUNCTION("""COMPUTED_VALUE"""),0)</f>
        <v>0</v>
      </c>
      <c r="P38" s="48">
        <f ca="1">IFERROR(__xludf.DUMMYFUNCTION("""COMPUTED_VALUE"""),0)</f>
        <v>0</v>
      </c>
      <c r="Q38" s="48">
        <f ca="1">IFERROR(__xludf.DUMMYFUNCTION("""COMPUTED_VALUE"""),0)</f>
        <v>0</v>
      </c>
      <c r="R38" s="48">
        <f ca="1">IFERROR(__xludf.DUMMYFUNCTION("""COMPUTED_VALUE"""),0)</f>
        <v>0</v>
      </c>
      <c r="S38" s="48">
        <f ca="1">IFERROR(__xludf.DUMMYFUNCTION("""COMPUTED_VALUE"""),0)</f>
        <v>0</v>
      </c>
    </row>
    <row r="39" spans="1:19">
      <c r="A39" s="46" t="str">
        <f ca="1">IFERROR(__xludf.DUMMYFUNCTION("""COMPUTED_VALUE"""),"SANCIONES AL TRANSPORTE PUBLICO")</f>
        <v>SANCIONES AL TRANSPORTE PUBLICO</v>
      </c>
      <c r="B39" s="46">
        <f ca="1">IFERROR(__xludf.DUMMYFUNCTION("""COMPUTED_VALUE"""),1)</f>
        <v>1</v>
      </c>
      <c r="C39" s="46"/>
      <c r="D39" s="46" t="str">
        <f ca="1">IFERROR(__xludf.DUMMYFUNCTION("""COMPUTED_VALUE"""),"ASCENDENTE")</f>
        <v>ASCENDENTE</v>
      </c>
      <c r="E39" s="46" t="str">
        <f ca="1">IFERROR(__xludf.DUMMYFUNCTION("""COMPUTED_VALUE"""),"BITACORA OPERATIVA")</f>
        <v>BITACORA OPERATIVA</v>
      </c>
      <c r="F39" s="47">
        <f ca="1">IFERROR(__xludf.DUMMYFUNCTION("""COMPUTED_VALUE"""),0)</f>
        <v>0</v>
      </c>
      <c r="G39" s="48">
        <f ca="1">IFERROR(__xludf.DUMMYFUNCTION("""COMPUTED_VALUE"""),0)</f>
        <v>0</v>
      </c>
      <c r="H39" s="48">
        <f ca="1">IFERROR(__xludf.DUMMYFUNCTION("""COMPUTED_VALUE"""),0)</f>
        <v>0</v>
      </c>
      <c r="I39" s="48">
        <f ca="1">IFERROR(__xludf.DUMMYFUNCTION("""COMPUTED_VALUE"""),0)</f>
        <v>0</v>
      </c>
      <c r="J39" s="48">
        <f ca="1">IFERROR(__xludf.DUMMYFUNCTION("""COMPUTED_VALUE"""),0)</f>
        <v>0</v>
      </c>
      <c r="K39" s="48">
        <f ca="1">IFERROR(__xludf.DUMMYFUNCTION("""COMPUTED_VALUE"""),0)</f>
        <v>0</v>
      </c>
      <c r="L39" s="48">
        <f ca="1">IFERROR(__xludf.DUMMYFUNCTION("""COMPUTED_VALUE"""),0)</f>
        <v>0</v>
      </c>
      <c r="M39" s="48">
        <f ca="1">IFERROR(__xludf.DUMMYFUNCTION("""COMPUTED_VALUE"""),0)</f>
        <v>0</v>
      </c>
      <c r="N39" s="48">
        <f ca="1">IFERROR(__xludf.DUMMYFUNCTION("""COMPUTED_VALUE"""),0)</f>
        <v>0</v>
      </c>
      <c r="O39" s="48">
        <f ca="1">IFERROR(__xludf.DUMMYFUNCTION("""COMPUTED_VALUE"""),0)</f>
        <v>0</v>
      </c>
      <c r="P39" s="48">
        <f ca="1">IFERROR(__xludf.DUMMYFUNCTION("""COMPUTED_VALUE"""),0)</f>
        <v>0</v>
      </c>
      <c r="Q39" s="48">
        <f ca="1">IFERROR(__xludf.DUMMYFUNCTION("""COMPUTED_VALUE"""),0)</f>
        <v>0</v>
      </c>
      <c r="R39" s="48">
        <f ca="1">IFERROR(__xludf.DUMMYFUNCTION("""COMPUTED_VALUE"""),0)</f>
        <v>0</v>
      </c>
      <c r="S39" s="48">
        <f ca="1">IFERROR(__xludf.DUMMYFUNCTION("""COMPUTED_VALUE"""),0)</f>
        <v>0</v>
      </c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IFERROR(__xludf.DUMMYFUNCTION("IMPORTRANGE(""https://docs.google.com/spreadsheets/d/1z4YRaGqzB5CSH1QvrQ0P4hE3QIugBSuK3MtmD3fQOgk/edit?gid=1208378285#gid=1208378285"",""01!A1:S"")"),"INDICADORES")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IFERROR(__xludf.DUMMYFUNCTION("""COMPUTED_VALUE"""),"HORAS DE SERVICIO PRESTADAS")</f>
        <v>HORAS DE SERVICIO PRESTADAS</v>
      </c>
      <c r="B2" s="46">
        <f ca="1">IFERROR(__xludf.DUMMYFUNCTION("""COMPUTED_VALUE"""),22300)</f>
        <v>22300</v>
      </c>
      <c r="C2" s="46" t="str">
        <f ca="1">IFERROR(__xludf.DUMMYFUNCTION("""COMPUTED_VALUE"""),"HORAS DE SERVICIO")</f>
        <v>HORAS DE SERVICIO</v>
      </c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IFERROR(__xludf.DUMMYFUNCTION("""COMPUTED_VALUE"""),100.627802690582)</f>
        <v>100.627802690582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IFERROR(__xludf.DUMMYFUNCTION("""COMPUTED_VALUE"""),2400)</f>
        <v>2400</v>
      </c>
      <c r="K2" s="48">
        <f ca="1">IFERROR(__xludf.DUMMYFUNCTION("""COMPUTED_VALUE"""),2400)</f>
        <v>2400</v>
      </c>
      <c r="L2" s="48">
        <f ca="1">IFERROR(__xludf.DUMMYFUNCTION("""COMPUTED_VALUE"""),2400)</f>
        <v>2400</v>
      </c>
      <c r="M2" s="48">
        <f ca="1">IFERROR(__xludf.DUMMYFUNCTION("""COMPUTED_VALUE"""),2680)</f>
        <v>2680</v>
      </c>
      <c r="N2" s="48">
        <f ca="1">IFERROR(__xludf.DUMMYFUNCTION("""COMPUTED_VALUE"""),2680)</f>
        <v>2680</v>
      </c>
      <c r="O2" s="48">
        <f ca="1">IFERROR(__xludf.DUMMYFUNCTION("""COMPUTED_VALUE"""),2680)</f>
        <v>2680</v>
      </c>
      <c r="P2" s="48">
        <f ca="1">IFERROR(__xludf.DUMMYFUNCTION("""COMPUTED_VALUE"""),2400)</f>
        <v>2400</v>
      </c>
      <c r="Q2" s="48">
        <f ca="1">IFERROR(__xludf.DUMMYFUNCTION("""COMPUTED_VALUE"""),2400)</f>
        <v>2400</v>
      </c>
      <c r="R2" s="48">
        <f ca="1">IFERROR(__xludf.DUMMYFUNCTION("""COMPUTED_VALUE"""),2400)</f>
        <v>2400</v>
      </c>
      <c r="S2" s="48">
        <f ca="1">IFERROR(__xludf.DUMMYFUNCTION("""COMPUTED_VALUE"""),22440)</f>
        <v>22440</v>
      </c>
    </row>
    <row r="3" spans="1:19">
      <c r="A3" s="46" t="str">
        <f ca="1">IFERROR(__xludf.DUMMYFUNCTION("""COMPUTED_VALUE"""),"NUMERO DE ACARREOS REALIZADOS")</f>
        <v>NUMERO DE ACARREOS REALIZADOS</v>
      </c>
      <c r="B3" s="46">
        <f ca="1">IFERROR(__xludf.DUMMYFUNCTION("""COMPUTED_VALUE"""),2520)</f>
        <v>2520</v>
      </c>
      <c r="C3" s="46" t="str">
        <f ca="1">IFERROR(__xludf.DUMMYFUNCTION("""COMPUTED_VALUE"""),"ACARREOS REALIZADOS")</f>
        <v>ACARREOS REALIZADOS</v>
      </c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IFERROR(__xludf.DUMMYFUNCTION("""COMPUTED_VALUE"""),102.341269841269)</f>
        <v>102.341269841269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IFERROR(__xludf.DUMMYFUNCTION("""COMPUTED_VALUE"""),319)</f>
        <v>319</v>
      </c>
      <c r="K3" s="48">
        <f ca="1">IFERROR(__xludf.DUMMYFUNCTION("""COMPUTED_VALUE"""),354)</f>
        <v>354</v>
      </c>
      <c r="L3" s="48">
        <f ca="1">IFERROR(__xludf.DUMMYFUNCTION("""COMPUTED_VALUE"""),0)</f>
        <v>0</v>
      </c>
      <c r="M3" s="48">
        <f ca="1">IFERROR(__xludf.DUMMYFUNCTION("""COMPUTED_VALUE"""),295)</f>
        <v>295</v>
      </c>
      <c r="N3" s="48">
        <f ca="1">IFERROR(__xludf.DUMMYFUNCTION("""COMPUTED_VALUE"""),246)</f>
        <v>246</v>
      </c>
      <c r="O3" s="48">
        <f ca="1">IFERROR(__xludf.DUMMYFUNCTION("""COMPUTED_VALUE"""),337)</f>
        <v>337</v>
      </c>
      <c r="P3" s="48">
        <f ca="1">IFERROR(__xludf.DUMMYFUNCTION("""COMPUTED_VALUE"""),310)</f>
        <v>310</v>
      </c>
      <c r="Q3" s="48">
        <f ca="1">IFERROR(__xludf.DUMMYFUNCTION("""COMPUTED_VALUE"""),330)</f>
        <v>330</v>
      </c>
      <c r="R3" s="48">
        <f ca="1">IFERROR(__xludf.DUMMYFUNCTION("""COMPUTED_VALUE"""),388)</f>
        <v>388</v>
      </c>
      <c r="S3" s="48">
        <f ca="1">IFERROR(__xludf.DUMMYFUNCTION("""COMPUTED_VALUE"""),2579)</f>
        <v>2579</v>
      </c>
    </row>
    <row r="4" spans="1:19">
      <c r="A4" s="46" t="str">
        <f ca="1">IFERROR(__xludf.DUMMYFUNCTION("""COMPUTED_VALUE"""),"NUMERO DE MAQUINAS OPERATIVAS")</f>
        <v>NUMERO DE MAQUINAS OPERATIVAS</v>
      </c>
      <c r="B4" s="46">
        <f ca="1">IFERROR(__xludf.DUMMYFUNCTION("""COMPUTED_VALUE"""),59)</f>
        <v>59</v>
      </c>
      <c r="C4" s="46" t="str">
        <f ca="1">IFERROR(__xludf.DUMMYFUNCTION("""COMPUTED_VALUE"""),"NUMERO DE MAQUINAS ACTIVAS")</f>
        <v>NUMERO DE MAQUINAS ACTIVAS</v>
      </c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IFERROR(__xludf.DUMMYFUNCTION("""COMPUTED_VALUE"""),122.033898305084)</f>
        <v>122.03389830508399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IFERROR(__xludf.DUMMYFUNCTION("""COMPUTED_VALUE"""),9)</f>
        <v>9</v>
      </c>
      <c r="K4" s="48">
        <f ca="1">IFERROR(__xludf.DUMMYFUNCTION("""COMPUTED_VALUE"""),9)</f>
        <v>9</v>
      </c>
      <c r="L4" s="48">
        <f ca="1">IFERROR(__xludf.DUMMYFUNCTION("""COMPUTED_VALUE"""),0)</f>
        <v>0</v>
      </c>
      <c r="M4" s="48">
        <f ca="1">IFERROR(__xludf.DUMMYFUNCTION("""COMPUTED_VALUE"""),10)</f>
        <v>10</v>
      </c>
      <c r="N4" s="48">
        <f ca="1">IFERROR(__xludf.DUMMYFUNCTION("""COMPUTED_VALUE"""),10)</f>
        <v>10</v>
      </c>
      <c r="O4" s="48">
        <f ca="1">IFERROR(__xludf.DUMMYFUNCTION("""COMPUTED_VALUE"""),10)</f>
        <v>10</v>
      </c>
      <c r="P4" s="48">
        <f ca="1">IFERROR(__xludf.DUMMYFUNCTION("""COMPUTED_VALUE"""),8)</f>
        <v>8</v>
      </c>
      <c r="Q4" s="48">
        <f ca="1">IFERROR(__xludf.DUMMYFUNCTION("""COMPUTED_VALUE"""),8)</f>
        <v>8</v>
      </c>
      <c r="R4" s="48">
        <f ca="1">IFERROR(__xludf.DUMMYFUNCTION("""COMPUTED_VALUE"""),8)</f>
        <v>8</v>
      </c>
      <c r="S4" s="48">
        <f ca="1">IFERROR(__xludf.DUMMYFUNCTION("""COMPUTED_VALUE"""),72)</f>
        <v>72</v>
      </c>
    </row>
    <row r="5" spans="1:19">
      <c r="A5" s="46" t="str">
        <f ca="1">IFERROR(__xludf.DUMMYFUNCTION("""COMPUTED_VALUE"""),"OBRAS EN PROCESO")</f>
        <v>OBRAS EN PROCESO</v>
      </c>
      <c r="B5" s="46">
        <f ca="1">IFERROR(__xludf.DUMMYFUNCTION("""COMPUTED_VALUE"""),100)</f>
        <v>100</v>
      </c>
      <c r="C5" s="46" t="str">
        <f ca="1">IFERROR(__xludf.DUMMYFUNCTION("""COMPUTED_VALUE"""),"OBRAS EN PROCESO")</f>
        <v>OBRAS EN PROCESO</v>
      </c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IFERROR(__xludf.DUMMYFUNCTION("""COMPUTED_VALUE"""),119)</f>
        <v>119</v>
      </c>
      <c r="G5" s="48">
        <f ca="1">IFERROR(__xludf.DUMMYFUNCTION("""COMPUTED_VALUE"""),0)</f>
        <v>0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IFERROR(__xludf.DUMMYFUNCTION("""COMPUTED_VALUE"""),9)</f>
        <v>9</v>
      </c>
      <c r="K5" s="48">
        <f ca="1">IFERROR(__xludf.DUMMYFUNCTION("""COMPUTED_VALUE"""),9)</f>
        <v>9</v>
      </c>
      <c r="L5" s="48">
        <f ca="1">IFERROR(__xludf.DUMMYFUNCTION("""COMPUTED_VALUE"""),6)</f>
        <v>6</v>
      </c>
      <c r="M5" s="48">
        <f ca="1">IFERROR(__xludf.DUMMYFUNCTION("""COMPUTED_VALUE"""),8)</f>
        <v>8</v>
      </c>
      <c r="N5" s="48">
        <f ca="1">IFERROR(__xludf.DUMMYFUNCTION("""COMPUTED_VALUE"""),5)</f>
        <v>5</v>
      </c>
      <c r="O5" s="48">
        <f ca="1">IFERROR(__xludf.DUMMYFUNCTION("""COMPUTED_VALUE"""),27)</f>
        <v>27</v>
      </c>
      <c r="P5" s="48">
        <f ca="1">IFERROR(__xludf.DUMMYFUNCTION("""COMPUTED_VALUE"""),19)</f>
        <v>19</v>
      </c>
      <c r="Q5" s="48">
        <f ca="1">IFERROR(__xludf.DUMMYFUNCTION("""COMPUTED_VALUE"""),36)</f>
        <v>36</v>
      </c>
      <c r="R5" s="48">
        <f ca="1">IFERROR(__xludf.DUMMYFUNCTION("""COMPUTED_VALUE"""),0)</f>
        <v>0</v>
      </c>
      <c r="S5" s="48">
        <f ca="1">IFERROR(__xludf.DUMMYFUNCTION("""COMPUTED_VALUE"""),119)</f>
        <v>119</v>
      </c>
    </row>
    <row r="6" spans="1:19">
      <c r="A6" s="46" t="str">
        <f ca="1">IFERROR(__xludf.DUMMYFUNCTION("""COMPUTED_VALUE"""),"OBRAS FINALIZADAS")</f>
        <v>OBRAS FINALIZADAS</v>
      </c>
      <c r="B6" s="46">
        <f ca="1">IFERROR(__xludf.DUMMYFUNCTION("""COMPUTED_VALUE"""),70)</f>
        <v>70</v>
      </c>
      <c r="C6" s="46" t="str">
        <f ca="1">IFERROR(__xludf.DUMMYFUNCTION("""COMPUTED_VALUE"""),"OBRAS FINALIZADAS")</f>
        <v>OBRAS FINALIZADAS</v>
      </c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IFERROR(__xludf.DUMMYFUNCTION("""COMPUTED_VALUE"""),107.142857142857)</f>
        <v>107.142857142857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IFERROR(__xludf.DUMMYFUNCTION("""COMPUTED_VALUE"""),6)</f>
        <v>6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IFERROR(__xludf.DUMMYFUNCTION("""COMPUTED_VALUE"""),33)</f>
        <v>33</v>
      </c>
      <c r="N6" s="48">
        <f ca="1">IFERROR(__xludf.DUMMYFUNCTION("""COMPUTED_VALUE"""),7)</f>
        <v>7</v>
      </c>
      <c r="O6" s="48">
        <f ca="1">IFERROR(__xludf.DUMMYFUNCTION("""COMPUTED_VALUE"""),6)</f>
        <v>6</v>
      </c>
      <c r="P6" s="48">
        <f ca="1">IFERROR(__xludf.DUMMYFUNCTION("""COMPUTED_VALUE"""),9)</f>
        <v>9</v>
      </c>
      <c r="Q6" s="48">
        <f ca="1">IFERROR(__xludf.DUMMYFUNCTION("""COMPUTED_VALUE"""),14)</f>
        <v>14</v>
      </c>
      <c r="R6" s="48">
        <f ca="1">IFERROR(__xludf.DUMMYFUNCTION("""COMPUTED_VALUE"""),0)</f>
        <v>0</v>
      </c>
      <c r="S6" s="48">
        <f ca="1">IFERROR(__xludf.DUMMYFUNCTION("""COMPUTED_VALUE"""),75)</f>
        <v>75</v>
      </c>
    </row>
    <row r="7" spans="1:19">
      <c r="A7" s="46" t="str">
        <f ca="1">IFERROR(__xludf.DUMMYFUNCTION("""COMPUTED_VALUE"""),"PROYECTOS ELABORADOS")</f>
        <v>PROYECTOS ELABORADOS</v>
      </c>
      <c r="B7" s="46">
        <f ca="1">IFERROR(__xludf.DUMMYFUNCTION("""COMPUTED_VALUE"""),153)</f>
        <v>153</v>
      </c>
      <c r="C7" s="46" t="str">
        <f ca="1">IFERROR(__xludf.DUMMYFUNCTION("""COMPUTED_VALUE"""),"PROYECTOS")</f>
        <v>PROYECTOS</v>
      </c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IFERROR(__xludf.DUMMYFUNCTION("""COMPUTED_VALUE"""),99.3464052287581)</f>
        <v>99.346405228758101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IFERROR(__xludf.DUMMYFUNCTION("""COMPUTED_VALUE"""),10)</f>
        <v>10</v>
      </c>
      <c r="K7" s="48">
        <f ca="1">IFERROR(__xludf.DUMMYFUNCTION("""COMPUTED_VALUE"""),21)</f>
        <v>21</v>
      </c>
      <c r="L7" s="48">
        <f ca="1">IFERROR(__xludf.DUMMYFUNCTION("""COMPUTED_VALUE"""),12)</f>
        <v>12</v>
      </c>
      <c r="M7" s="48">
        <f ca="1">IFERROR(__xludf.DUMMYFUNCTION("""COMPUTED_VALUE"""),16)</f>
        <v>16</v>
      </c>
      <c r="N7" s="48">
        <f ca="1">IFERROR(__xludf.DUMMYFUNCTION("""COMPUTED_VALUE"""),15)</f>
        <v>15</v>
      </c>
      <c r="O7" s="48">
        <f ca="1">IFERROR(__xludf.DUMMYFUNCTION("""COMPUTED_VALUE"""),12)</f>
        <v>12</v>
      </c>
      <c r="P7" s="48">
        <f ca="1">IFERROR(__xludf.DUMMYFUNCTION("""COMPUTED_VALUE"""),57)</f>
        <v>57</v>
      </c>
      <c r="Q7" s="48">
        <f ca="1">IFERROR(__xludf.DUMMYFUNCTION("""COMPUTED_VALUE"""),9)</f>
        <v>9</v>
      </c>
      <c r="R7" s="48">
        <f ca="1">IFERROR(__xludf.DUMMYFUNCTION("""COMPUTED_VALUE"""),0)</f>
        <v>0</v>
      </c>
      <c r="S7" s="48">
        <f ca="1">IFERROR(__xludf.DUMMYFUNCTION("""COMPUTED_VALUE"""),152)</f>
        <v>152</v>
      </c>
    </row>
    <row r="8" spans="1:19">
      <c r="A8" s="46" t="str">
        <f ca="1">IFERROR(__xludf.DUMMYFUNCTION("""COMPUTED_VALUE"""),"DICTAMENES")</f>
        <v>DICTAMENES</v>
      </c>
      <c r="B8" s="46">
        <f ca="1">IFERROR(__xludf.DUMMYFUNCTION("""COMPUTED_VALUE"""),210)</f>
        <v>210</v>
      </c>
      <c r="C8" s="46" t="str">
        <f ca="1">IFERROR(__xludf.DUMMYFUNCTION("""COMPUTED_VALUE"""),"DICTAMENES")</f>
        <v>DICTAMENES</v>
      </c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IFERROR(__xludf.DUMMYFUNCTION("""COMPUTED_VALUE"""),92.8571428571428)</f>
        <v>92.857142857142804</v>
      </c>
      <c r="G8" s="48">
        <f ca="1">IFERROR(__xludf.DUMMYFUNCTION("""COMPUTED_VALUE"""),21)</f>
        <v>21</v>
      </c>
      <c r="H8" s="48">
        <f ca="1">IFERROR(__xludf.DUMMYFUNCTION("""COMPUTED_VALUE"""),30)</f>
        <v>30</v>
      </c>
      <c r="I8" s="48">
        <f ca="1">IFERROR(__xludf.DUMMYFUNCTION("""COMPUTED_VALUE"""),18)</f>
        <v>18</v>
      </c>
      <c r="J8" s="48">
        <f ca="1">IFERROR(__xludf.DUMMYFUNCTION("""COMPUTED_VALUE"""),52)</f>
        <v>52</v>
      </c>
      <c r="K8" s="48">
        <f ca="1">IFERROR(__xludf.DUMMYFUNCTION("""COMPUTED_VALUE"""),37)</f>
        <v>37</v>
      </c>
      <c r="L8" s="48">
        <f ca="1">IFERROR(__xludf.DUMMYFUNCTION("""COMPUTED_VALUE"""),37)</f>
        <v>37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IFERROR(__xludf.DUMMYFUNCTION("""COMPUTED_VALUE"""),195)</f>
        <v>195</v>
      </c>
    </row>
    <row r="9" spans="1:19">
      <c r="A9" s="46" t="str">
        <f ca="1">IFERROR(__xludf.DUMMYFUNCTION("""COMPUTED_VALUE"""),"ORDENES DE INSPECCION")</f>
        <v>ORDENES DE INSPECCION</v>
      </c>
      <c r="B9" s="46">
        <f ca="1">IFERROR(__xludf.DUMMYFUNCTION("""COMPUTED_VALUE"""),290)</f>
        <v>290</v>
      </c>
      <c r="C9" s="46" t="str">
        <f ca="1">IFERROR(__xludf.DUMMYFUNCTION("""COMPUTED_VALUE"""),"ORDENES DE INSPECCION")</f>
        <v>ORDENES DE INSPECCION</v>
      </c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IFERROR(__xludf.DUMMYFUNCTION("""COMPUTED_VALUE"""),85.1724137931034)</f>
        <v>85.172413793103402</v>
      </c>
      <c r="G9" s="48">
        <f ca="1">IFERROR(__xludf.DUMMYFUNCTION("""COMPUTED_VALUE"""),2)</f>
        <v>2</v>
      </c>
      <c r="H9" s="48">
        <f ca="1">IFERROR(__xludf.DUMMYFUNCTION("""COMPUTED_VALUE"""),2)</f>
        <v>2</v>
      </c>
      <c r="I9" s="48">
        <f ca="1">IFERROR(__xludf.DUMMYFUNCTION("""COMPUTED_VALUE"""),1)</f>
        <v>1</v>
      </c>
      <c r="J9" s="48">
        <f ca="1">IFERROR(__xludf.DUMMYFUNCTION("""COMPUTED_VALUE"""),47)</f>
        <v>47</v>
      </c>
      <c r="K9" s="48">
        <f ca="1">IFERROR(__xludf.DUMMYFUNCTION("""COMPUTED_VALUE"""),40)</f>
        <v>40</v>
      </c>
      <c r="L9" s="48">
        <f ca="1">IFERROR(__xludf.DUMMYFUNCTION("""COMPUTED_VALUE"""),35)</f>
        <v>35</v>
      </c>
      <c r="M9" s="48">
        <f ca="1">IFERROR(__xludf.DUMMYFUNCTION("""COMPUTED_VALUE"""),48)</f>
        <v>48</v>
      </c>
      <c r="N9" s="48">
        <f ca="1">IFERROR(__xludf.DUMMYFUNCTION("""COMPUTED_VALUE"""),32)</f>
        <v>32</v>
      </c>
      <c r="O9" s="48">
        <f ca="1">IFERROR(__xludf.DUMMYFUNCTION("""COMPUTED_VALUE"""),40)</f>
        <v>40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IFERROR(__xludf.DUMMYFUNCTION("""COMPUTED_VALUE"""),247)</f>
        <v>247</v>
      </c>
    </row>
    <row r="10" spans="1:19">
      <c r="A10" s="46" t="str">
        <f ca="1">IFERROR(__xludf.DUMMYFUNCTION("""COMPUTED_VALUE"""),"SANCIONES")</f>
        <v>SANCIONES</v>
      </c>
      <c r="B10" s="46">
        <f ca="1">IFERROR(__xludf.DUMMYFUNCTION("""COMPUTED_VALUE"""),150)</f>
        <v>150</v>
      </c>
      <c r="C10" s="46" t="str">
        <f ca="1">IFERROR(__xludf.DUMMYFUNCTION("""COMPUTED_VALUE"""),"SANCIONES")</f>
        <v>SANCIONES</v>
      </c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IFERROR(__xludf.DUMMYFUNCTION("""COMPUTED_VALUE"""),86)</f>
        <v>86</v>
      </c>
      <c r="G10" s="48">
        <f ca="1">IFERROR(__xludf.DUMMYFUNCTION("""COMPUTED_VALUE"""),2)</f>
        <v>2</v>
      </c>
      <c r="H10" s="48">
        <f ca="1">IFERROR(__xludf.DUMMYFUNCTION("""COMPUTED_VALUE"""),3)</f>
        <v>3</v>
      </c>
      <c r="I10" s="48">
        <f ca="1">IFERROR(__xludf.DUMMYFUNCTION("""COMPUTED_VALUE"""),2)</f>
        <v>2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IFERROR(__xludf.DUMMYFUNCTION("""COMPUTED_VALUE"""),1)</f>
        <v>1</v>
      </c>
      <c r="M10" s="48">
        <f ca="1">IFERROR(__xludf.DUMMYFUNCTION("""COMPUTED_VALUE"""),45)</f>
        <v>45</v>
      </c>
      <c r="N10" s="48">
        <f ca="1">IFERROR(__xludf.DUMMYFUNCTION("""COMPUTED_VALUE"""),42)</f>
        <v>42</v>
      </c>
      <c r="O10" s="48">
        <f ca="1">IFERROR(__xludf.DUMMYFUNCTION("""COMPUTED_VALUE"""),34)</f>
        <v>34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IFERROR(__xludf.DUMMYFUNCTION("""COMPUTED_VALUE"""),129)</f>
        <v>129</v>
      </c>
    </row>
    <row r="11" spans="1:19">
      <c r="A11" s="46" t="str">
        <f ca="1">IFERROR(__xludf.DUMMYFUNCTION("""COMPUTED_VALUE"""),"INSPECCIONES REALIZADAS")</f>
        <v>INSPECCIONES REALIZADAS</v>
      </c>
      <c r="B11" s="46">
        <f ca="1">IFERROR(__xludf.DUMMYFUNCTION("""COMPUTED_VALUE"""),290)</f>
        <v>290</v>
      </c>
      <c r="C11" s="46" t="str">
        <f ca="1">IFERROR(__xludf.DUMMYFUNCTION("""COMPUTED_VALUE"""),"INSPECCIONES REALIZADAS")</f>
        <v>INSPECCIONES REALIZADAS</v>
      </c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IFERROR(__xludf.DUMMYFUNCTION("""COMPUTED_VALUE"""),80)</f>
        <v>80</v>
      </c>
      <c r="G11" s="48">
        <f ca="1">IFERROR(__xludf.DUMMYFUNCTION("""COMPUTED_VALUE"""),62)</f>
        <v>62</v>
      </c>
      <c r="H11" s="48">
        <f ca="1">IFERROR(__xludf.DUMMYFUNCTION("""COMPUTED_VALUE"""),70)</f>
        <v>70</v>
      </c>
      <c r="I11" s="48">
        <f ca="1">IFERROR(__xludf.DUMMYFUNCTION("""COMPUTED_VALUE"""),60)</f>
        <v>60</v>
      </c>
      <c r="J11" s="48">
        <f ca="1">IFERROR(__xludf.DUMMYFUNCTION("""COMPUTED_VALUE"""),10)</f>
        <v>10</v>
      </c>
      <c r="K11" s="48">
        <f ca="1">IFERROR(__xludf.DUMMYFUNCTION("""COMPUTED_VALUE"""),15)</f>
        <v>15</v>
      </c>
      <c r="L11" s="48">
        <f ca="1">IFERROR(__xludf.DUMMYFUNCTION("""COMPUTED_VALUE"""),12)</f>
        <v>12</v>
      </c>
      <c r="M11" s="48">
        <f ca="1">IFERROR(__xludf.DUMMYFUNCTION("""COMPUTED_VALUE"""),1)</f>
        <v>1</v>
      </c>
      <c r="N11" s="48">
        <f ca="1">IFERROR(__xludf.DUMMYFUNCTION("""COMPUTED_VALUE"""),0)</f>
        <v>0</v>
      </c>
      <c r="O11" s="48">
        <f ca="1">IFERROR(__xludf.DUMMYFUNCTION("""COMPUTED_VALUE"""),2)</f>
        <v>2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IFERROR(__xludf.DUMMYFUNCTION("""COMPUTED_VALUE"""),232)</f>
        <v>232</v>
      </c>
    </row>
    <row r="12" spans="1:19">
      <c r="A12" s="46" t="str">
        <f ca="1">IFERROR(__xludf.DUMMYFUNCTION("""COMPUTED_VALUE"""),"DICTAMENES DE GIRO")</f>
        <v>DICTAMENES DE GIRO</v>
      </c>
      <c r="B12" s="46">
        <f ca="1">IFERROR(__xludf.DUMMYFUNCTION("""COMPUTED_VALUE"""),250)</f>
        <v>250</v>
      </c>
      <c r="C12" s="46" t="str">
        <f ca="1">IFERROR(__xludf.DUMMYFUNCTION("""COMPUTED_VALUE"""),"DICTAMENES DE GIRO GENERADOS")</f>
        <v>DICTAMENES DE GIRO GENERADOS</v>
      </c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IFERROR(__xludf.DUMMYFUNCTION("""COMPUTED_VALUE"""),92.8)</f>
        <v>92.8</v>
      </c>
      <c r="G12" s="48">
        <f ca="1">IFERROR(__xludf.DUMMYFUNCTION("""COMPUTED_VALUE"""),62)</f>
        <v>62</v>
      </c>
      <c r="H12" s="48">
        <f ca="1">IFERROR(__xludf.DUMMYFUNCTION("""COMPUTED_VALUE"""),70)</f>
        <v>70</v>
      </c>
      <c r="I12" s="48">
        <f ca="1">IFERROR(__xludf.DUMMYFUNCTION("""COMPUTED_VALUE"""),60)</f>
        <v>60</v>
      </c>
      <c r="J12" s="48">
        <f ca="1">IFERROR(__xludf.DUMMYFUNCTION("""COMPUTED_VALUE"""),10)</f>
        <v>10</v>
      </c>
      <c r="K12" s="48">
        <f ca="1">IFERROR(__xludf.DUMMYFUNCTION("""COMPUTED_VALUE"""),15)</f>
        <v>15</v>
      </c>
      <c r="L12" s="48">
        <f ca="1">IFERROR(__xludf.DUMMYFUNCTION("""COMPUTED_VALUE"""),12)</f>
        <v>12</v>
      </c>
      <c r="M12" s="48">
        <f ca="1">IFERROR(__xludf.DUMMYFUNCTION("""COMPUTED_VALUE"""),1)</f>
        <v>1</v>
      </c>
      <c r="N12" s="48">
        <f ca="1">IFERROR(__xludf.DUMMYFUNCTION("""COMPUTED_VALUE"""),0)</f>
        <v>0</v>
      </c>
      <c r="O12" s="48">
        <f ca="1">IFERROR(__xludf.DUMMYFUNCTION("""COMPUTED_VALUE"""),2)</f>
        <v>2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IFERROR(__xludf.DUMMYFUNCTION("""COMPUTED_VALUE"""),232)</f>
        <v>232</v>
      </c>
    </row>
    <row r="13" spans="1:19">
      <c r="A13" s="46" t="str">
        <f ca="1">IFERROR(__xludf.DUMMYFUNCTION("""COMPUTED_VALUE"""),"DICTAMENES DE EDIFICACION ")</f>
        <v xml:space="preserve">DICTAMENES DE EDIFICACION </v>
      </c>
      <c r="B13" s="46">
        <f ca="1">IFERROR(__xludf.DUMMYFUNCTION("""COMPUTED_VALUE"""),55)</f>
        <v>55</v>
      </c>
      <c r="C13" s="46" t="str">
        <f ca="1">IFERROR(__xludf.DUMMYFUNCTION("""COMPUTED_VALUE"""),"DICTAMENES DE EDIFICACION GENERADOS")</f>
        <v>DICTAMENES DE EDIFICACION GENERADOS</v>
      </c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IFERROR(__xludf.DUMMYFUNCTION("""COMPUTED_VALUE"""),85.4545454545454)</f>
        <v>85.454545454545396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IFERROR(__xludf.DUMMYFUNCTION("""COMPUTED_VALUE"""),2)</f>
        <v>2</v>
      </c>
      <c r="K13" s="48">
        <f ca="1">IFERROR(__xludf.DUMMYFUNCTION("""COMPUTED_VALUE"""),11)</f>
        <v>11</v>
      </c>
      <c r="L13" s="48">
        <f ca="1">IFERROR(__xludf.DUMMYFUNCTION("""COMPUTED_VALUE"""),13)</f>
        <v>13</v>
      </c>
      <c r="M13" s="48">
        <f ca="1">IFERROR(__xludf.DUMMYFUNCTION("""COMPUTED_VALUE"""),5)</f>
        <v>5</v>
      </c>
      <c r="N13" s="48">
        <f ca="1">IFERROR(__xludf.DUMMYFUNCTION("""COMPUTED_VALUE"""),11)</f>
        <v>11</v>
      </c>
      <c r="O13" s="48">
        <f ca="1">IFERROR(__xludf.DUMMYFUNCTION("""COMPUTED_VALUE"""),3)</f>
        <v>3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IFERROR(__xludf.DUMMYFUNCTION("""COMPUTED_VALUE"""),2)</f>
        <v>2</v>
      </c>
      <c r="S13" s="48">
        <f ca="1">IFERROR(__xludf.DUMMYFUNCTION("""COMPUTED_VALUE"""),47)</f>
        <v>47</v>
      </c>
    </row>
    <row r="14" spans="1:19">
      <c r="A14" s="46" t="str">
        <f ca="1">IFERROR(__xludf.DUMMYFUNCTION("""COMPUTED_VALUE"""),"LICENCIAS DE NUMERO OFICIAL")</f>
        <v>LICENCIAS DE NUMERO OFICIAL</v>
      </c>
      <c r="B14" s="46">
        <f ca="1">IFERROR(__xludf.DUMMYFUNCTION("""COMPUTED_VALUE"""),515)</f>
        <v>515</v>
      </c>
      <c r="C14" s="46" t="str">
        <f ca="1">IFERROR(__xludf.DUMMYFUNCTION("""COMPUTED_VALUE"""),"LICENCIAS DE NUMERO OFCICIAL EXPEDIDAS")</f>
        <v>LICENCIAS DE NUMERO OFCICIAL EXPEDIDAS</v>
      </c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IFERROR(__xludf.DUMMYFUNCTION("""COMPUTED_VALUE"""),107.57281553398)</f>
        <v>107.57281553398001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IFERROR(__xludf.DUMMYFUNCTION("""COMPUTED_VALUE"""),82)</f>
        <v>82</v>
      </c>
      <c r="K14" s="48">
        <f ca="1">IFERROR(__xludf.DUMMYFUNCTION("""COMPUTED_VALUE"""),80)</f>
        <v>80</v>
      </c>
      <c r="L14" s="48">
        <f ca="1">IFERROR(__xludf.DUMMYFUNCTION("""COMPUTED_VALUE"""),54)</f>
        <v>54</v>
      </c>
      <c r="M14" s="48">
        <f ca="1">IFERROR(__xludf.DUMMYFUNCTION("""COMPUTED_VALUE"""),75)</f>
        <v>75</v>
      </c>
      <c r="N14" s="48">
        <f ca="1">IFERROR(__xludf.DUMMYFUNCTION("""COMPUTED_VALUE"""),74)</f>
        <v>74</v>
      </c>
      <c r="O14" s="48">
        <f ca="1">IFERROR(__xludf.DUMMYFUNCTION("""COMPUTED_VALUE"""),77)</f>
        <v>77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IFERROR(__xludf.DUMMYFUNCTION("""COMPUTED_VALUE"""),112)</f>
        <v>112</v>
      </c>
      <c r="S14" s="48">
        <f ca="1">IFERROR(__xludf.DUMMYFUNCTION("""COMPUTED_VALUE"""),554)</f>
        <v>554</v>
      </c>
    </row>
    <row r="15" spans="1:19">
      <c r="A15" s="46" t="str">
        <f ca="1">IFERROR(__xludf.DUMMYFUNCTION("""COMPUTED_VALUE"""),"LICENCIA DE ALINEAMIENTO")</f>
        <v>LICENCIA DE ALINEAMIENTO</v>
      </c>
      <c r="B15" s="46">
        <f ca="1">IFERROR(__xludf.DUMMYFUNCTION("""COMPUTED_VALUE"""),290)</f>
        <v>290</v>
      </c>
      <c r="C15" s="46" t="str">
        <f ca="1">IFERROR(__xludf.DUMMYFUNCTION("""COMPUTED_VALUE"""),"LICENCIAS DE ALINEAMIENTOS OTORGADAS")</f>
        <v>LICENCIAS DE ALINEAMIENTOS OTORGADAS</v>
      </c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IFERROR(__xludf.DUMMYFUNCTION("""COMPUTED_VALUE"""),80.3448275862069)</f>
        <v>80.344827586206904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IFERROR(__xludf.DUMMYFUNCTION("""COMPUTED_VALUE"""),51)</f>
        <v>51</v>
      </c>
      <c r="K15" s="48">
        <f ca="1">IFERROR(__xludf.DUMMYFUNCTION("""COMPUTED_VALUE"""),33)</f>
        <v>33</v>
      </c>
      <c r="L15" s="48">
        <f ca="1">IFERROR(__xludf.DUMMYFUNCTION("""COMPUTED_VALUE"""),33)</f>
        <v>33</v>
      </c>
      <c r="M15" s="48">
        <f ca="1">IFERROR(__xludf.DUMMYFUNCTION("""COMPUTED_VALUE"""),27)</f>
        <v>27</v>
      </c>
      <c r="N15" s="48">
        <f ca="1">IFERROR(__xludf.DUMMYFUNCTION("""COMPUTED_VALUE"""),36)</f>
        <v>36</v>
      </c>
      <c r="O15" s="48">
        <f ca="1">IFERROR(__xludf.DUMMYFUNCTION("""COMPUTED_VALUE"""),18)</f>
        <v>18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IFERROR(__xludf.DUMMYFUNCTION("""COMPUTED_VALUE"""),35)</f>
        <v>35</v>
      </c>
      <c r="S15" s="48">
        <f ca="1">IFERROR(__xludf.DUMMYFUNCTION("""COMPUTED_VALUE"""),233)</f>
        <v>233</v>
      </c>
    </row>
    <row r="16" spans="1:19">
      <c r="A16" s="46" t="str">
        <f ca="1">IFERROR(__xludf.DUMMYFUNCTION("""COMPUTED_VALUE"""),"LICENCIA DE EDIFICACION")</f>
        <v>LICENCIA DE EDIFICACION</v>
      </c>
      <c r="B16" s="46">
        <f ca="1">IFERROR(__xludf.DUMMYFUNCTION("""COMPUTED_VALUE"""),220)</f>
        <v>220</v>
      </c>
      <c r="C16" s="46" t="str">
        <f ca="1">IFERROR(__xludf.DUMMYFUNCTION("""COMPUTED_VALUE"""),"LICENCIAS DE EDIFICACION OTORGADAS")</f>
        <v>LICENCIAS DE EDIFICACION OTORGADAS</v>
      </c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IFERROR(__xludf.DUMMYFUNCTION("""COMPUTED_VALUE"""),103.181818181818)</f>
        <v>103.181818181818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IFERROR(__xludf.DUMMYFUNCTION("""COMPUTED_VALUE"""),53)</f>
        <v>53</v>
      </c>
      <c r="K16" s="48">
        <f ca="1">IFERROR(__xludf.DUMMYFUNCTION("""COMPUTED_VALUE"""),35)</f>
        <v>35</v>
      </c>
      <c r="L16" s="48">
        <f ca="1">IFERROR(__xludf.DUMMYFUNCTION("""COMPUTED_VALUE"""),35)</f>
        <v>35</v>
      </c>
      <c r="M16" s="48">
        <f ca="1">IFERROR(__xludf.DUMMYFUNCTION("""COMPUTED_VALUE"""),25)</f>
        <v>25</v>
      </c>
      <c r="N16" s="48">
        <f ca="1">IFERROR(__xludf.DUMMYFUNCTION("""COMPUTED_VALUE"""),27)</f>
        <v>27</v>
      </c>
      <c r="O16" s="48">
        <f ca="1">IFERROR(__xludf.DUMMYFUNCTION("""COMPUTED_VALUE"""),15)</f>
        <v>15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IFERROR(__xludf.DUMMYFUNCTION("""COMPUTED_VALUE"""),37)</f>
        <v>37</v>
      </c>
      <c r="S16" s="48">
        <f ca="1">IFERROR(__xludf.DUMMYFUNCTION("""COMPUTED_VALUE"""),227)</f>
        <v>227</v>
      </c>
    </row>
    <row r="17" spans="1:19">
      <c r="A17" s="46" t="str">
        <f ca="1">IFERROR(__xludf.DUMMYFUNCTION("""COMPUTED_VALUE"""),"LICENCIA DE URBANIZACION")</f>
        <v>LICENCIA DE URBANIZACION</v>
      </c>
      <c r="B17" s="46">
        <f ca="1">IFERROR(__xludf.DUMMYFUNCTION("""COMPUTED_VALUE"""),3)</f>
        <v>3</v>
      </c>
      <c r="C17" s="46" t="str">
        <f ca="1">IFERROR(__xludf.DUMMYFUNCTION("""COMPUTED_VALUE"""),"LICENCIAS DE URBANIZACION OTORGADAS")</f>
        <v>LICENCIAS DE URBANIZACION OTORGADAS</v>
      </c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IFERROR(__xludf.DUMMYFUNCTION("""COMPUTED_VALUE"""),0)</f>
        <v>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IFERROR(__xludf.DUMMYFUNCTION("""COMPUTED_VALUE"""),0)</f>
        <v>0</v>
      </c>
    </row>
    <row r="18" spans="1:19">
      <c r="A18" s="46" t="str">
        <f ca="1">IFERROR(__xludf.DUMMYFUNCTION("""COMPUTED_VALUE"""),"DICTAMEN BANCOS DE MATERIAL GEOLOGICO")</f>
        <v>DICTAMEN BANCOS DE MATERIAL GEOLOGICO</v>
      </c>
      <c r="B18" s="46">
        <f ca="1">IFERROR(__xludf.DUMMYFUNCTION("""COMPUTED_VALUE"""),7)</f>
        <v>7</v>
      </c>
      <c r="C18" s="46" t="str">
        <f ca="1">IFERROR(__xludf.DUMMYFUNCTION("""COMPUTED_VALUE"""),"DICTAMENES DE BANCOS DE MATERIAL GEOLOGICO OTORGADOS")</f>
        <v>DICTAMENES DE BANCOS DE MATERIAL GEOLOGICO OTORGADOS</v>
      </c>
      <c r="D18" s="46" t="str">
        <f ca="1">IFERROR(__xludf.DUMMYFUNCTION("""COMPUTED_VALUE"""),"DESCENDENTE")</f>
        <v>DESCENDENTE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IFERROR(__xludf.DUMMYFUNCTION("""COMPUTED_VALUE"""),85.7142857142857)</f>
        <v>85.714285714285694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IFERROR(__xludf.DUMMYFUNCTION("""COMPUTED_VALUE"""),1)</f>
        <v>1</v>
      </c>
      <c r="L18" s="48">
        <f ca="1">IFERROR(__xludf.DUMMYFUNCTION("""COMPUTED_VALUE"""),2)</f>
        <v>2</v>
      </c>
      <c r="M18" s="48">
        <f ca="1">IFERROR(__xludf.DUMMYFUNCTION("""COMPUTED_VALUE"""),2)</f>
        <v>2</v>
      </c>
      <c r="N18" s="48">
        <f ca="1">IFERROR(__xludf.DUMMYFUNCTION("""COMPUTED_VALUE"""),0)</f>
        <v>0</v>
      </c>
      <c r="O18" s="48">
        <f ca="1">IFERROR(__xludf.DUMMYFUNCTION("""COMPUTED_VALUE"""),1)</f>
        <v>1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IFERROR(__xludf.DUMMYFUNCTION("""COMPUTED_VALUE"""),6)</f>
        <v>6</v>
      </c>
    </row>
    <row r="19" spans="1:19">
      <c r="A19" s="46" t="str">
        <f ca="1">IFERROR(__xludf.DUMMYFUNCTION("""COMPUTED_VALUE"""),"MOVIMIENTOS DE TIERRA")</f>
        <v>MOVIMIENTOS DE TIERRA</v>
      </c>
      <c r="B19" s="46">
        <f ca="1">IFERROR(__xludf.DUMMYFUNCTION("""COMPUTED_VALUE"""),2)</f>
        <v>2</v>
      </c>
      <c r="C19" s="46" t="str">
        <f ca="1">IFERROR(__xludf.DUMMYFUNCTION("""COMPUTED_VALUE"""),"MOVIMIENTOS DE TIERRA APROBADOS")</f>
        <v>MOVIMIENTOS DE TIERRA APROBADOS</v>
      </c>
      <c r="D19" s="46" t="str">
        <f ca="1">IFERROR(__xludf.DUMMYFUNCTION("""COMPUTED_VALUE"""),"DESCENDENTE")</f>
        <v>DESCENDENTE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IFERROR(__xludf.DUMMYFUNCTION("""COMPUTED_VALUE"""),50)</f>
        <v>50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IFERROR(__xludf.DUMMYFUNCTION("""COMPUTED_VALUE"""),1)</f>
        <v>1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IFERROR(__xludf.DUMMYFUNCTION("""COMPUTED_VALUE"""),1)</f>
        <v>1</v>
      </c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 summaryRight="0"/>
  </sheetPr>
  <dimension ref="A1:S1000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IFERROR(__xludf.DUMMYFUNCTION("IMPORTRANGE(""https://docs.google.com/spreadsheets/d/1z4YRaGqzB5CSH1QvrQ0P4hE3QIugBSuK3MtmD3fQOgk/edit?gid=1208378285#gid=1208378285"",""02!A1:S"")"),"INDICADORES")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IFERROR(__xludf.DUMMYFUNCTION("""COMPUTED_VALUE"""),"HORAS DE SERVICIO PRESTADAS")</f>
        <v>HORAS DE SERVICIO PRESTADAS</v>
      </c>
      <c r="B2" s="46">
        <f ca="1">IFERROR(__xludf.DUMMYFUNCTION("""COMPUTED_VALUE"""),1)</f>
        <v>1</v>
      </c>
      <c r="C2" s="46"/>
      <c r="D2" s="46" t="str">
        <f ca="1">IFERROR(__xludf.DUMMYFUNCTION("""COMPUTED_VALUE"""),"ASCENDENTE")</f>
        <v>ASCENDENTE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IFERROR(__xludf.DUMMYFUNCTION("""COMPUTED_VALUE"""),0)</f>
        <v>0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IFERROR(__xludf.DUMMYFUNCTION("""COMPUTED_VALUE"""),0)</f>
        <v>0</v>
      </c>
    </row>
    <row r="3" spans="1:19">
      <c r="A3" s="46" t="str">
        <f ca="1">IFERROR(__xludf.DUMMYFUNCTION("""COMPUTED_VALUE"""),"NUMERO DE ACARREOS REALIZADOS")</f>
        <v>NUMERO DE ACARREOS REALIZADOS</v>
      </c>
      <c r="B3" s="46">
        <f ca="1">IFERROR(__xludf.DUMMYFUNCTION("""COMPUTED_VALUE"""),1)</f>
        <v>1</v>
      </c>
      <c r="C3" s="46"/>
      <c r="D3" s="46" t="str">
        <f ca="1">IFERROR(__xludf.DUMMYFUNCTION("""COMPUTED_VALUE"""),"ASCENDENTE")</f>
        <v>ASCENDENTE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IFERROR(__xludf.DUMMYFUNCTION("""COMPUTED_VALUE"""),0)</f>
        <v>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IFERROR(__xludf.DUMMYFUNCTION("""COMPUTED_VALUE"""),0)</f>
        <v>0</v>
      </c>
    </row>
    <row r="4" spans="1:19">
      <c r="A4" s="46" t="str">
        <f ca="1">IFERROR(__xludf.DUMMYFUNCTION("""COMPUTED_VALUE"""),"NUMERO DE MAQUINAS OPERATIVAS")</f>
        <v>NUMERO DE MAQUINAS OPERATIVAS</v>
      </c>
      <c r="B4" s="46">
        <f ca="1">IFERROR(__xludf.DUMMYFUNCTION("""COMPUTED_VALUE"""),1)</f>
        <v>1</v>
      </c>
      <c r="C4" s="46"/>
      <c r="D4" s="46" t="str">
        <f ca="1">IFERROR(__xludf.DUMMYFUNCTION("""COMPUTED_VALUE"""),"ASCENDENTE")</f>
        <v>ASCENDENTE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IFERROR(__xludf.DUMMYFUNCTION("""COMPUTED_VALUE"""),0)</f>
        <v>0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IFERROR(__xludf.DUMMYFUNCTION("""COMPUTED_VALUE"""),0)</f>
        <v>0</v>
      </c>
    </row>
    <row r="5" spans="1:19">
      <c r="A5" s="46" t="str">
        <f ca="1">IFERROR(__xludf.DUMMYFUNCTION("""COMPUTED_VALUE"""),"OBRAS EN PROCESO")</f>
        <v>OBRAS EN PROCESO</v>
      </c>
      <c r="B5" s="46">
        <f ca="1">IFERROR(__xludf.DUMMYFUNCTION("""COMPUTED_VALUE"""),1)</f>
        <v>1</v>
      </c>
      <c r="C5" s="46"/>
      <c r="D5" s="46" t="str">
        <f ca="1">IFERROR(__xludf.DUMMYFUNCTION("""COMPUTED_VALUE"""),"ASCENDENTE")</f>
        <v>ASCENDENTE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IFERROR(__xludf.DUMMYFUNCTION("""COMPUTED_VALUE"""),0)</f>
        <v>0</v>
      </c>
      <c r="G5" s="48">
        <f ca="1">IFERROR(__xludf.DUMMYFUNCTION("""COMPUTED_VALUE"""),0)</f>
        <v>0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IFERROR(__xludf.DUMMYFUNCTION("""COMPUTED_VALUE"""),0)</f>
        <v>0</v>
      </c>
    </row>
    <row r="6" spans="1:19">
      <c r="A6" s="46" t="str">
        <f ca="1">IFERROR(__xludf.DUMMYFUNCTION("""COMPUTED_VALUE"""),"OBRAS FINALIZADAS")</f>
        <v>OBRAS FINALIZADAS</v>
      </c>
      <c r="B6" s="46">
        <f ca="1">IFERROR(__xludf.DUMMYFUNCTION("""COMPUTED_VALUE"""),1)</f>
        <v>1</v>
      </c>
      <c r="C6" s="46"/>
      <c r="D6" s="46" t="str">
        <f ca="1">IFERROR(__xludf.DUMMYFUNCTION("""COMPUTED_VALUE"""),"ASCENDENTE")</f>
        <v>ASCENDENTE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IFERROR(__xludf.DUMMYFUNCTION("""COMPUTED_VALUE"""),0)</f>
        <v>0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IFERROR(__xludf.DUMMYFUNCTION("""COMPUTED_VALUE"""),0)</f>
        <v>0</v>
      </c>
    </row>
    <row r="7" spans="1:19">
      <c r="A7" s="46" t="str">
        <f ca="1">IFERROR(__xludf.DUMMYFUNCTION("""COMPUTED_VALUE"""),"PROYECTOS ELABORADOS")</f>
        <v>PROYECTOS ELABORADOS</v>
      </c>
      <c r="B7" s="46">
        <f ca="1">IFERROR(__xludf.DUMMYFUNCTION("""COMPUTED_VALUE"""),1)</f>
        <v>1</v>
      </c>
      <c r="C7" s="46"/>
      <c r="D7" s="46" t="str">
        <f ca="1">IFERROR(__xludf.DUMMYFUNCTION("""COMPUTED_VALUE"""),"ASCENDENTE")</f>
        <v>ASCENDENTE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IFERROR(__xludf.DUMMYFUNCTION("""COMPUTED_VALUE"""),0)</f>
        <v>0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IFERROR(__xludf.DUMMYFUNCTION("""COMPUTED_VALUE"""),0)</f>
        <v>0</v>
      </c>
    </row>
    <row r="8" spans="1:19">
      <c r="A8" s="46" t="str">
        <f ca="1">IFERROR(__xludf.DUMMYFUNCTION("""COMPUTED_VALUE"""),"DICTAMENES")</f>
        <v>DICTAMENES</v>
      </c>
      <c r="B8" s="46">
        <f ca="1">IFERROR(__xludf.DUMMYFUNCTION("""COMPUTED_VALUE"""),1)</f>
        <v>1</v>
      </c>
      <c r="C8" s="46"/>
      <c r="D8" s="46" t="str">
        <f ca="1">IFERROR(__xludf.DUMMYFUNCTION("""COMPUTED_VALUE"""),"ASCENDENTE")</f>
        <v>ASCENDENTE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IFERROR(__xludf.DUMMYFUNCTION("""COMPUTED_VALUE"""),"ORDENES DE INSPECCION")</f>
        <v>ORDENES DE INSPECCION</v>
      </c>
      <c r="B9" s="46">
        <f ca="1">IFERROR(__xludf.DUMMYFUNCTION("""COMPUTED_VALUE"""),1)</f>
        <v>1</v>
      </c>
      <c r="C9" s="46"/>
      <c r="D9" s="46" t="str">
        <f ca="1">IFERROR(__xludf.DUMMYFUNCTION("""COMPUTED_VALUE"""),"ASCENDENTE")</f>
        <v>ASCENDENTE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IFERROR(__xludf.DUMMYFUNCTION("""COMPUTED_VALUE"""),"SANCIONES")</f>
        <v>SANCIONES</v>
      </c>
      <c r="B10" s="46">
        <f ca="1">IFERROR(__xludf.DUMMYFUNCTION("""COMPUTED_VALUE"""),1)</f>
        <v>1</v>
      </c>
      <c r="C10" s="46"/>
      <c r="D10" s="46" t="str">
        <f ca="1">IFERROR(__xludf.DUMMYFUNCTION("""COMPUTED_VALUE"""),"ASCENDENTE")</f>
        <v>ASCENDENTE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IFERROR(__xludf.DUMMYFUNCTION("""COMPUTED_VALUE"""),"INSPECCIONES REALIZADAS")</f>
        <v>INSPECCIONES REALIZADAS</v>
      </c>
      <c r="B11" s="46">
        <f ca="1">IFERROR(__xludf.DUMMYFUNCTION("""COMPUTED_VALUE"""),1)</f>
        <v>1</v>
      </c>
      <c r="C11" s="46"/>
      <c r="D11" s="46" t="str">
        <f ca="1">IFERROR(__xludf.DUMMYFUNCTION("""COMPUTED_VALUE"""),"ASCENDENTE")</f>
        <v>ASCENDENTE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IFERROR(__xludf.DUMMYFUNCTION("""COMPUTED_VALUE"""),0)</f>
        <v>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IFERROR(__xludf.DUMMYFUNCTION("""COMPUTED_VALUE"""),0)</f>
        <v>0</v>
      </c>
    </row>
    <row r="12" spans="1:19">
      <c r="A12" s="46" t="str">
        <f ca="1">IFERROR(__xludf.DUMMYFUNCTION("""COMPUTED_VALUE"""),"DICTAMENES DE GIRO")</f>
        <v>DICTAMENES DE GIRO</v>
      </c>
      <c r="B12" s="46">
        <f ca="1">IFERROR(__xludf.DUMMYFUNCTION("""COMPUTED_VALUE"""),1)</f>
        <v>1</v>
      </c>
      <c r="C12" s="46"/>
      <c r="D12" s="46" t="str">
        <f ca="1">IFERROR(__xludf.DUMMYFUNCTION("""COMPUTED_VALUE"""),"ASCENDENTE")</f>
        <v>ASCENDENTE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IFERROR(__xludf.DUMMYFUNCTION("""COMPUTED_VALUE"""),"DICTAMENES DE EDIFICACION ")</f>
        <v xml:space="preserve">DICTAMENES DE EDIFICACION </v>
      </c>
      <c r="B13" s="46">
        <f ca="1">IFERROR(__xludf.DUMMYFUNCTION("""COMPUTED_VALUE"""),1)</f>
        <v>1</v>
      </c>
      <c r="C13" s="46"/>
      <c r="D13" s="46" t="str">
        <f ca="1">IFERROR(__xludf.DUMMYFUNCTION("""COMPUTED_VALUE"""),"ASCENDENTE")</f>
        <v>ASCENDENTE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IFERROR(__xludf.DUMMYFUNCTION("""COMPUTED_VALUE"""),"LICENCIAS DE NUMERO OFICIAL")</f>
        <v>LICENCIAS DE NUMERO OFICIAL</v>
      </c>
      <c r="B14" s="46">
        <f ca="1">IFERROR(__xludf.DUMMYFUNCTION("""COMPUTED_VALUE"""),1)</f>
        <v>1</v>
      </c>
      <c r="C14" s="46"/>
      <c r="D14" s="46" t="str">
        <f ca="1">IFERROR(__xludf.DUMMYFUNCTION("""COMPUTED_VALUE"""),"ASCENDENTE")</f>
        <v>ASCENDENTE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IFERROR(__xludf.DUMMYFUNCTION("""COMPUTED_VALUE"""),"LICENCIA DE ALINEAMIENTO")</f>
        <v>LICENCIA DE ALINEAMIENTO</v>
      </c>
      <c r="B15" s="46">
        <f ca="1">IFERROR(__xludf.DUMMYFUNCTION("""COMPUTED_VALUE"""),1)</f>
        <v>1</v>
      </c>
      <c r="C15" s="46"/>
      <c r="D15" s="46" t="str">
        <f ca="1">IFERROR(__xludf.DUMMYFUNCTION("""COMPUTED_VALUE"""),"ASCENDENTE")</f>
        <v>ASCENDENTE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IFERROR(__xludf.DUMMYFUNCTION("""COMPUTED_VALUE"""),"LICENCIA DE EDIFICACION")</f>
        <v>LICENCIA DE EDIFICACION</v>
      </c>
      <c r="B16" s="46">
        <f ca="1">IFERROR(__xludf.DUMMYFUNCTION("""COMPUTED_VALUE"""),1)</f>
        <v>1</v>
      </c>
      <c r="C16" s="46"/>
      <c r="D16" s="46" t="str">
        <f ca="1">IFERROR(__xludf.DUMMYFUNCTION("""COMPUTED_VALUE"""),"ASCENDENTE")</f>
        <v>ASCENDENTE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IFERROR(__xludf.DUMMYFUNCTION("""COMPUTED_VALUE"""),"LICENCIA DE URBANIZACION")</f>
        <v>LICENCIA DE URBANIZACION</v>
      </c>
      <c r="B17" s="46">
        <f ca="1">IFERROR(__xludf.DUMMYFUNCTION("""COMPUTED_VALUE"""),1)</f>
        <v>1</v>
      </c>
      <c r="C17" s="46"/>
      <c r="D17" s="46" t="str">
        <f ca="1">IFERROR(__xludf.DUMMYFUNCTION("""COMPUTED_VALUE"""),"ASCENDENTE")</f>
        <v>ASCENDENTE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IFERROR(__xludf.DUMMYFUNCTION("""COMPUTED_VALUE"""),0)</f>
        <v>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IFERROR(__xludf.DUMMYFUNCTION("""COMPUTED_VALUE"""),0)</f>
        <v>0</v>
      </c>
    </row>
    <row r="18" spans="1:19">
      <c r="A18" s="46" t="str">
        <f ca="1">IFERROR(__xludf.DUMMYFUNCTION("""COMPUTED_VALUE"""),"DICTAMEN BANCOS DE MATERIAL GEOLOGICO")</f>
        <v>DICTAMEN BANCOS DE MATERIAL GEOLOGICO</v>
      </c>
      <c r="B18" s="46">
        <f ca="1">IFERROR(__xludf.DUMMYFUNCTION("""COMPUTED_VALUE"""),1)</f>
        <v>1</v>
      </c>
      <c r="C18" s="46"/>
      <c r="D18" s="46" t="str">
        <f ca="1">IFERROR(__xludf.DUMMYFUNCTION("""COMPUTED_VALUE"""),"ASCENDENTE")</f>
        <v>ASCENDENTE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IFERROR(__xludf.DUMMYFUNCTION("""COMPUTED_VALUE"""),"MOVIMIENTOS DE TIERRA")</f>
        <v>MOVIMIENTOS DE TIERRA</v>
      </c>
      <c r="B19" s="46">
        <f ca="1">IFERROR(__xludf.DUMMYFUNCTION("""COMPUTED_VALUE"""),1)</f>
        <v>1</v>
      </c>
      <c r="C19" s="46"/>
      <c r="D19" s="46" t="str">
        <f ca="1">IFERROR(__xludf.DUMMYFUNCTION("""COMPUTED_VALUE"""),"ASCENDENTE")</f>
        <v>ASCENDENTE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</row>
    <row r="21" spans="1:19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</row>
    <row r="22" spans="1:19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</row>
    <row r="23" spans="1:19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</row>
    <row r="24" spans="1:19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</row>
    <row r="25" spans="1:19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</row>
    <row r="26" spans="1:19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  <row r="996" spans="1:19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</row>
    <row r="997" spans="1:19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</row>
    <row r="998" spans="1:19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</row>
    <row r="999" spans="1:19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</row>
    <row r="1000" spans="1:19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 summaryRight="0"/>
  </sheetPr>
  <dimension ref="A1:S995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IFERROR(__xludf.DUMMYFUNCTION("IMPORTRANGE(""https://docs.google.com/spreadsheets/d/1vCVPjtTbwjOHxNoYk06lhTuwO4s4k9dNMLYqZgkkR78/edit?gid=54889057#gid=54889057"",""01!A1:S"")"),"INDICADORES")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IFERROR(__xludf.DUMMYFUNCTION("""COMPUTED_VALUE"""),"INCENDIO POR UTILIZACIÓN DE GAS INFLAMABLE")</f>
        <v>INCENDIO POR UTILIZACIÓN DE GAS INFLAMABLE</v>
      </c>
      <c r="B2" s="46">
        <f ca="1">IFERROR(__xludf.DUMMYFUNCTION("""COMPUTED_VALUE"""),10)</f>
        <v>10</v>
      </c>
      <c r="C2" s="46" t="str">
        <f ca="1">IFERROR(__xludf.DUMMYFUNCTION("""COMPUTED_VALUE"""),"INCENDIOS")</f>
        <v>INCENDIOS</v>
      </c>
      <c r="D2" s="46" t="str">
        <f ca="1">IFERROR(__xludf.DUMMYFUNCTION("""COMPUTED_VALUE"""),"DECENDENTE")</f>
        <v>DECENDENTE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IFERROR(__xludf.DUMMYFUNCTION("""COMPUTED_VALUE"""),0)</f>
        <v>0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IFERROR(__xludf.DUMMYFUNCTION("""COMPUTED_VALUE"""),0)</f>
        <v>0</v>
      </c>
    </row>
    <row r="3" spans="1:19">
      <c r="A3" s="46" t="str">
        <f ca="1">IFERROR(__xludf.DUMMYFUNCTION("""COMPUTED_VALUE"""),"INCENDIO POR DESCUIDO (NEGLIGENCIA)")</f>
        <v>INCENDIO POR DESCUIDO (NEGLIGENCIA)</v>
      </c>
      <c r="B3" s="46">
        <f ca="1">IFERROR(__xludf.DUMMYFUNCTION("""COMPUTED_VALUE"""),30)</f>
        <v>30</v>
      </c>
      <c r="C3" s="46" t="str">
        <f ca="1">IFERROR(__xludf.DUMMYFUNCTION("""COMPUTED_VALUE"""),"INCENDIOS")</f>
        <v>INCENDIOS</v>
      </c>
      <c r="D3" s="46" t="str">
        <f ca="1">IFERROR(__xludf.DUMMYFUNCTION("""COMPUTED_VALUE"""),"DECENDENTE")</f>
        <v>DECENDENTE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IFERROR(__xludf.DUMMYFUNCTION("""COMPUTED_VALUE"""),0)</f>
        <v>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IFERROR(__xludf.DUMMYFUNCTION("""COMPUTED_VALUE"""),0)</f>
        <v>0</v>
      </c>
    </row>
    <row r="4" spans="1:19">
      <c r="A4" s="46" t="str">
        <f ca="1">IFERROR(__xludf.DUMMYFUNCTION("""COMPUTED_VALUE"""),"INCENDIO PROVOCADO / INCENDIO INTENCIONAL")</f>
        <v>INCENDIO PROVOCADO / INCENDIO INTENCIONAL</v>
      </c>
      <c r="B4" s="46">
        <f ca="1">IFERROR(__xludf.DUMMYFUNCTION("""COMPUTED_VALUE"""),15)</f>
        <v>15</v>
      </c>
      <c r="C4" s="46" t="str">
        <f ca="1">IFERROR(__xludf.DUMMYFUNCTION("""COMPUTED_VALUE"""),"INCENDIOS")</f>
        <v>INCENDIOS</v>
      </c>
      <c r="D4" s="46" t="str">
        <f ca="1">IFERROR(__xludf.DUMMYFUNCTION("""COMPUTED_VALUE"""),"DECENDENTE")</f>
        <v>DECENDENTE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IFERROR(__xludf.DUMMYFUNCTION("""COMPUTED_VALUE"""),0)</f>
        <v>0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IFERROR(__xludf.DUMMYFUNCTION("""COMPUTED_VALUE"""),0)</f>
        <v>0</v>
      </c>
    </row>
    <row r="5" spans="1:19">
      <c r="A5" s="46" t="str">
        <f ca="1">IFERROR(__xludf.DUMMYFUNCTION("""COMPUTED_VALUE"""),"DERRAME DE COMBUESTIBLE/ FUGA DE GAS")</f>
        <v>DERRAME DE COMBUESTIBLE/ FUGA DE GAS</v>
      </c>
      <c r="B5" s="46">
        <f ca="1">IFERROR(__xludf.DUMMYFUNCTION("""COMPUTED_VALUE"""),50)</f>
        <v>50</v>
      </c>
      <c r="C5" s="46" t="str">
        <f ca="1">IFERROR(__xludf.DUMMYFUNCTION("""COMPUTED_VALUE"""),"INCENDIOS")</f>
        <v>INCENDIOS</v>
      </c>
      <c r="D5" s="46" t="str">
        <f ca="1">IFERROR(__xludf.DUMMYFUNCTION("""COMPUTED_VALUE"""),"DECENDENTE")</f>
        <v>DECENDENTE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IFERROR(__xludf.DUMMYFUNCTION("""COMPUTED_VALUE"""),0)</f>
        <v>0</v>
      </c>
      <c r="G5" s="48">
        <f ca="1">IFERROR(__xludf.DUMMYFUNCTION("""COMPUTED_VALUE"""),0)</f>
        <v>0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IFERROR(__xludf.DUMMYFUNCTION("""COMPUTED_VALUE"""),0)</f>
        <v>0</v>
      </c>
    </row>
    <row r="6" spans="1:19">
      <c r="A6" s="46" t="str">
        <f ca="1">IFERROR(__xludf.DUMMYFUNCTION("""COMPUTED_VALUE"""),"RECALENTAMIENTO DE MATERIALES")</f>
        <v>RECALENTAMIENTO DE MATERIALES</v>
      </c>
      <c r="B6" s="46">
        <f ca="1">IFERROR(__xludf.DUMMYFUNCTION("""COMPUTED_VALUE"""),10)</f>
        <v>10</v>
      </c>
      <c r="C6" s="46" t="str">
        <f ca="1">IFERROR(__xludf.DUMMYFUNCTION("""COMPUTED_VALUE"""),"INCENDIOS")</f>
        <v>INCENDIOS</v>
      </c>
      <c r="D6" s="46" t="str">
        <f ca="1">IFERROR(__xludf.DUMMYFUNCTION("""COMPUTED_VALUE"""),"DECENDENTE")</f>
        <v>DECENDENTE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IFERROR(__xludf.DUMMYFUNCTION("""COMPUTED_VALUE"""),0)</f>
        <v>0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IFERROR(__xludf.DUMMYFUNCTION("""COMPUTED_VALUE"""),0)</f>
        <v>0</v>
      </c>
    </row>
    <row r="7" spans="1:19">
      <c r="A7" s="46" t="str">
        <f ca="1">IFERROR(__xludf.DUMMYFUNCTION("""COMPUTED_VALUE"""),"CHOQUE DE VEHICULOS")</f>
        <v>CHOQUE DE VEHICULOS</v>
      </c>
      <c r="B7" s="46">
        <f ca="1">IFERROR(__xludf.DUMMYFUNCTION("""COMPUTED_VALUE"""),7)</f>
        <v>7</v>
      </c>
      <c r="C7" s="46" t="str">
        <f ca="1">IFERROR(__xludf.DUMMYFUNCTION("""COMPUTED_VALUE"""),"INCENDIO DERIBADO DE CHOQUE VEHICULAR ATENDIDO")</f>
        <v>INCENDIO DERIBADO DE CHOQUE VEHICULAR ATENDIDO</v>
      </c>
      <c r="D7" s="46" t="str">
        <f ca="1">IFERROR(__xludf.DUMMYFUNCTION("""COMPUTED_VALUE"""),"DECENDENTE")</f>
        <v>DECENDENTE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IFERROR(__xludf.DUMMYFUNCTION("""COMPUTED_VALUE"""),42.8571428571428)</f>
        <v>42.857142857142797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IFERROR(__xludf.DUMMYFUNCTION("""COMPUTED_VALUE"""),2)</f>
        <v>2</v>
      </c>
      <c r="N7" s="48">
        <f ca="1">IFERROR(__xludf.DUMMYFUNCTION("""COMPUTED_VALUE"""),1)</f>
        <v>1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IFERROR(__xludf.DUMMYFUNCTION("""COMPUTED_VALUE"""),3)</f>
        <v>3</v>
      </c>
    </row>
    <row r="8" spans="1:19">
      <c r="A8" s="46" t="str">
        <f ca="1">IFERROR(__xludf.DUMMYFUNCTION("""COMPUTED_VALUE"""),"INCENDIO ACCIDENTAL")</f>
        <v>INCENDIO ACCIDENTAL</v>
      </c>
      <c r="B8" s="46">
        <f ca="1">IFERROR(__xludf.DUMMYFUNCTION("""COMPUTED_VALUE"""),4)</f>
        <v>4</v>
      </c>
      <c r="C8" s="46" t="str">
        <f ca="1">IFERROR(__xludf.DUMMYFUNCTION("""COMPUTED_VALUE"""),"INCENDIO ACCIDENTAL ATENDIDO")</f>
        <v>INCENDIO ACCIDENTAL ATENDIDO</v>
      </c>
      <c r="D8" s="46" t="str">
        <f ca="1">IFERROR(__xludf.DUMMYFUNCTION("""COMPUTED_VALUE"""),"DECENDENTE")</f>
        <v>DECENDENTE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IFERROR(__xludf.DUMMYFUNCTION("""COMPUTED_VALUE"""),"EXPLOSIONES ")</f>
        <v xml:space="preserve">EXPLOSIONES </v>
      </c>
      <c r="B9" s="46">
        <f ca="1">IFERROR(__xludf.DUMMYFUNCTION("""COMPUTED_VALUE"""),5)</f>
        <v>5</v>
      </c>
      <c r="C9" s="46" t="str">
        <f ca="1">IFERROR(__xludf.DUMMYFUNCTION("""COMPUTED_VALUE"""),"EXPLOSION ATENDIDA")</f>
        <v>EXPLOSION ATENDIDA</v>
      </c>
      <c r="D9" s="46" t="str">
        <f ca="1">IFERROR(__xludf.DUMMYFUNCTION("""COMPUTED_VALUE"""),"DECENDENTE")</f>
        <v>DECENDENTE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IFERROR(__xludf.DUMMYFUNCTION("""COMPUTED_VALUE"""),"FUEGO DIRECTO")</f>
        <v>FUEGO DIRECTO</v>
      </c>
      <c r="B10" s="46">
        <f ca="1">IFERROR(__xludf.DUMMYFUNCTION("""COMPUTED_VALUE"""),40)</f>
        <v>40</v>
      </c>
      <c r="C10" s="46" t="str">
        <f ca="1">IFERROR(__xludf.DUMMYFUNCTION("""COMPUTED_VALUE"""),"INCENDIO POR FUEGO DIRECTO ATENDIDO")</f>
        <v>INCENDIO POR FUEGO DIRECTO ATENDIDO</v>
      </c>
      <c r="D10" s="46" t="str">
        <f ca="1">IFERROR(__xludf.DUMMYFUNCTION("""COMPUTED_VALUE"""),"DECENDENTE")</f>
        <v>DECENDENTE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IFERROR(__xludf.DUMMYFUNCTION("""COMPUTED_VALUE"""),"QUEMA DE BASURA")</f>
        <v>QUEMA DE BASURA</v>
      </c>
      <c r="B11" s="46">
        <f ca="1">IFERROR(__xludf.DUMMYFUNCTION("""COMPUTED_VALUE"""),16)</f>
        <v>16</v>
      </c>
      <c r="C11" s="46" t="str">
        <f ca="1">IFERROR(__xludf.DUMMYFUNCTION("""COMPUTED_VALUE"""),"INCENDIO POR QUEMA DE BASURA ATENDIDO")</f>
        <v>INCENDIO POR QUEMA DE BASURA ATENDIDO</v>
      </c>
      <c r="D11" s="46" t="str">
        <f ca="1">IFERROR(__xludf.DUMMYFUNCTION("""COMPUTED_VALUE"""),"DECENDENTE")</f>
        <v>DECENDENTE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IFERROR(__xludf.DUMMYFUNCTION("""COMPUTED_VALUE"""),143.75)</f>
        <v>143.75</v>
      </c>
      <c r="G11" s="48">
        <f ca="1">IFERROR(__xludf.DUMMYFUNCTION("""COMPUTED_VALUE"""),3)</f>
        <v>3</v>
      </c>
      <c r="H11" s="48">
        <f ca="1">IFERROR(__xludf.DUMMYFUNCTION("""COMPUTED_VALUE"""),5)</f>
        <v>5</v>
      </c>
      <c r="I11" s="48">
        <f ca="1">IFERROR(__xludf.DUMMYFUNCTION("""COMPUTED_VALUE"""),0)</f>
        <v>0</v>
      </c>
      <c r="J11" s="48">
        <f ca="1">IFERROR(__xludf.DUMMYFUNCTION("""COMPUTED_VALUE"""),5)</f>
        <v>5</v>
      </c>
      <c r="K11" s="48">
        <f ca="1">IFERROR(__xludf.DUMMYFUNCTION("""COMPUTED_VALUE"""),0)</f>
        <v>0</v>
      </c>
      <c r="L11" s="48">
        <f ca="1">IFERROR(__xludf.DUMMYFUNCTION("""COMPUTED_VALUE"""),4)</f>
        <v>4</v>
      </c>
      <c r="M11" s="48">
        <f ca="1">IFERROR(__xludf.DUMMYFUNCTION("""COMPUTED_VALUE"""),0)</f>
        <v>0</v>
      </c>
      <c r="N11" s="48">
        <f ca="1">IFERROR(__xludf.DUMMYFUNCTION("""COMPUTED_VALUE"""),2)</f>
        <v>2</v>
      </c>
      <c r="O11" s="48">
        <f ca="1">IFERROR(__xludf.DUMMYFUNCTION("""COMPUTED_VALUE"""),4)</f>
        <v>4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IFERROR(__xludf.DUMMYFUNCTION("""COMPUTED_VALUE"""),23)</f>
        <v>23</v>
      </c>
    </row>
    <row r="12" spans="1:19">
      <c r="A12" s="46" t="str">
        <f ca="1">IFERROR(__xludf.DUMMYFUNCTION("""COMPUTED_VALUE"""),"PROPAGACION DE FUEGO")</f>
        <v>PROPAGACION DE FUEGO</v>
      </c>
      <c r="B12" s="46">
        <f ca="1">IFERROR(__xludf.DUMMYFUNCTION("""COMPUTED_VALUE"""),3)</f>
        <v>3</v>
      </c>
      <c r="C12" s="46" t="str">
        <f ca="1">IFERROR(__xludf.DUMMYFUNCTION("""COMPUTED_VALUE"""),"INCENDIO POR PROPAGACION DE FUEGO ATENDIDO")</f>
        <v>INCENDIO POR PROPAGACION DE FUEGO ATENDIDO</v>
      </c>
      <c r="D12" s="46" t="str">
        <f ca="1">IFERROR(__xludf.DUMMYFUNCTION("""COMPUTED_VALUE"""),"DECENDENTE")</f>
        <v>DECENDENTE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IFERROR(__xludf.DUMMYFUNCTION("""COMPUTED_VALUE"""),"FUEGO POR MALA INSTALACION ELECTRICA")</f>
        <v>FUEGO POR MALA INSTALACION ELECTRICA</v>
      </c>
      <c r="B13" s="46">
        <f ca="1">IFERROR(__xludf.DUMMYFUNCTION("""COMPUTED_VALUE"""),8)</f>
        <v>8</v>
      </c>
      <c r="C13" s="46" t="str">
        <f ca="1">IFERROR(__xludf.DUMMYFUNCTION("""COMPUTED_VALUE"""),"INCENDIO POR MALA INSTALACION ELECTRICA ATENDIDA")</f>
        <v>INCENDIO POR MALA INSTALACION ELECTRICA ATENDIDA</v>
      </c>
      <c r="D13" s="46" t="str">
        <f ca="1">IFERROR(__xludf.DUMMYFUNCTION("""COMPUTED_VALUE"""),"DECENDENTE")</f>
        <v>DECENDENTE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IFERROR(__xludf.DUMMYFUNCTION("""COMPUTED_VALUE"""),237.5)</f>
        <v>237.5</v>
      </c>
      <c r="G13" s="48">
        <f ca="1">IFERROR(__xludf.DUMMYFUNCTION("""COMPUTED_VALUE"""),3)</f>
        <v>3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IFERROR(__xludf.DUMMYFUNCTION("""COMPUTED_VALUE"""),2)</f>
        <v>2</v>
      </c>
      <c r="K13" s="48">
        <f ca="1">IFERROR(__xludf.DUMMYFUNCTION("""COMPUTED_VALUE"""),8)</f>
        <v>8</v>
      </c>
      <c r="L13" s="48">
        <f ca="1">IFERROR(__xludf.DUMMYFUNCTION("""COMPUTED_VALUE"""),4)</f>
        <v>4</v>
      </c>
      <c r="M13" s="48">
        <f ca="1">IFERROR(__xludf.DUMMYFUNCTION("""COMPUTED_VALUE"""),2)</f>
        <v>2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IFERROR(__xludf.DUMMYFUNCTION("""COMPUTED_VALUE"""),19)</f>
        <v>19</v>
      </c>
    </row>
    <row r="14" spans="1:19">
      <c r="A14" s="46" t="str">
        <f ca="1">IFERROR(__xludf.DUMMYFUNCTION("""COMPUTED_VALUE"""),"FALTA DE MANTENIMIENTO")</f>
        <v>FALTA DE MANTENIMIENTO</v>
      </c>
      <c r="B14" s="46">
        <f ca="1">IFERROR(__xludf.DUMMYFUNCTION("""COMPUTED_VALUE"""),120)</f>
        <v>120</v>
      </c>
      <c r="C14" s="46" t="str">
        <f ca="1">IFERROR(__xludf.DUMMYFUNCTION("""COMPUTED_VALUE"""),"INCENDIO POR FALTA DE MANTENIMIENTO ATENDIDO")</f>
        <v>INCENDIO POR FALTA DE MANTENIMIENTO ATENDIDO</v>
      </c>
      <c r="D14" s="46" t="str">
        <f ca="1">IFERROR(__xludf.DUMMYFUNCTION("""COMPUTED_VALUE"""),"DECENDENTE")</f>
        <v>DECENDENTE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IFERROR(__xludf.DUMMYFUNCTION("""COMPUTED_VALUE"""),"REIGNICION")</f>
        <v>REIGNICION</v>
      </c>
      <c r="B15" s="46">
        <f ca="1">IFERROR(__xludf.DUMMYFUNCTION("""COMPUTED_VALUE"""),15)</f>
        <v>15</v>
      </c>
      <c r="C15" s="46" t="str">
        <f ca="1">IFERROR(__xludf.DUMMYFUNCTION("""COMPUTED_VALUE"""),"INCENDIO POR REIGNICION ATENDIDO")</f>
        <v>INCENDIO POR REIGNICION ATENDIDO</v>
      </c>
      <c r="D15" s="46" t="str">
        <f ca="1">IFERROR(__xludf.DUMMYFUNCTION("""COMPUTED_VALUE"""),"DECENDENTE")</f>
        <v>DECENDENTE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IFERROR(__xludf.DUMMYFUNCTION("""COMPUTED_VALUE"""),"SOBRE CALENTAMIENTO DE MOTOR")</f>
        <v>SOBRE CALENTAMIENTO DE MOTOR</v>
      </c>
      <c r="B16" s="46">
        <f ca="1">IFERROR(__xludf.DUMMYFUNCTION("""COMPUTED_VALUE"""),7)</f>
        <v>7</v>
      </c>
      <c r="C16" s="46" t="str">
        <f ca="1">IFERROR(__xludf.DUMMYFUNCTION("""COMPUTED_VALUE"""),"INCENDIO POR SOBRECALENTAMIENTO DE MOTOR ATENDIDO")</f>
        <v>INCENDIO POR SOBRECALENTAMIENTO DE MOTOR ATENDIDO</v>
      </c>
      <c r="D16" s="46" t="str">
        <f ca="1">IFERROR(__xludf.DUMMYFUNCTION("""COMPUTED_VALUE"""),"DECENDENTE")</f>
        <v>DECENDENTE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IFERROR(__xludf.DUMMYFUNCTION("""COMPUTED_VALUE"""),"FALSA EXPLOSION")</f>
        <v>FALSA EXPLOSION</v>
      </c>
      <c r="B17" s="46">
        <f ca="1">IFERROR(__xludf.DUMMYFUNCTION("""COMPUTED_VALUE"""),30)</f>
        <v>30</v>
      </c>
      <c r="C17" s="46" t="str">
        <f ca="1">IFERROR(__xludf.DUMMYFUNCTION("""COMPUTED_VALUE"""),"INCENDIO POR FALSA EXPLOSION ATENDIDA")</f>
        <v>INCENDIO POR FALSA EXPLOSION ATENDIDA</v>
      </c>
      <c r="D17" s="46" t="str">
        <f ca="1">IFERROR(__xludf.DUMMYFUNCTION("""COMPUTED_VALUE"""),"DECENDENTE")</f>
        <v>DECENDENTE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IFERROR(__xludf.DUMMYFUNCTION("""COMPUTED_VALUE"""),153.333333333333)</f>
        <v>153.333333333333</v>
      </c>
      <c r="G17" s="48">
        <f ca="1">IFERROR(__xludf.DUMMYFUNCTION("""COMPUTED_VALUE"""),4)</f>
        <v>4</v>
      </c>
      <c r="H17" s="48">
        <f ca="1">IFERROR(__xludf.DUMMYFUNCTION("""COMPUTED_VALUE"""),5)</f>
        <v>5</v>
      </c>
      <c r="I17" s="48">
        <f ca="1">IFERROR(__xludf.DUMMYFUNCTION("""COMPUTED_VALUE"""),0)</f>
        <v>0</v>
      </c>
      <c r="J17" s="48">
        <f ca="1">IFERROR(__xludf.DUMMYFUNCTION("""COMPUTED_VALUE"""),5)</f>
        <v>5</v>
      </c>
      <c r="K17" s="48">
        <f ca="1">IFERROR(__xludf.DUMMYFUNCTION("""COMPUTED_VALUE"""),4)</f>
        <v>4</v>
      </c>
      <c r="L17" s="48">
        <f ca="1">IFERROR(__xludf.DUMMYFUNCTION("""COMPUTED_VALUE"""),9)</f>
        <v>9</v>
      </c>
      <c r="M17" s="48">
        <f ca="1">IFERROR(__xludf.DUMMYFUNCTION("""COMPUTED_VALUE"""),6)</f>
        <v>6</v>
      </c>
      <c r="N17" s="48">
        <f ca="1">IFERROR(__xludf.DUMMYFUNCTION("""COMPUTED_VALUE"""),3)</f>
        <v>3</v>
      </c>
      <c r="O17" s="48">
        <f ca="1">IFERROR(__xludf.DUMMYFUNCTION("""COMPUTED_VALUE"""),10)</f>
        <v>10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IFERROR(__xludf.DUMMYFUNCTION("""COMPUTED_VALUE"""),46)</f>
        <v>46</v>
      </c>
    </row>
    <row r="18" spans="1:19">
      <c r="A18" s="46" t="str">
        <f ca="1">IFERROR(__xludf.DUMMYFUNCTION("""COMPUTED_VALUE"""),"CHOQUE DE VEHICULO")</f>
        <v>CHOQUE DE VEHICULO</v>
      </c>
      <c r="B18" s="46">
        <f ca="1">IFERROR(__xludf.DUMMYFUNCTION("""COMPUTED_VALUE"""),50)</f>
        <v>50</v>
      </c>
      <c r="C18" s="46" t="str">
        <f ca="1">IFERROR(__xludf.DUMMYFUNCTION("""COMPUTED_VALUE""")," CHOQUE DE VEHICULO ATENDIDO")</f>
        <v xml:space="preserve"> CHOQUE DE VEHICULO ATENDIDO</v>
      </c>
      <c r="D18" s="46" t="str">
        <f ca="1">IFERROR(__xludf.DUMMYFUNCTION("""COMPUTED_VALUE"""),"DECENDENTE")</f>
        <v>DECENDENTE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IFERROR(__xludf.DUMMYFUNCTION("""COMPUTED_VALUE"""),57.9999999999999)</f>
        <v>57.999999999999901</v>
      </c>
      <c r="G18" s="48">
        <f ca="1">IFERROR(__xludf.DUMMYFUNCTION("""COMPUTED_VALUE"""),2)</f>
        <v>2</v>
      </c>
      <c r="H18" s="48">
        <f ca="1">IFERROR(__xludf.DUMMYFUNCTION("""COMPUTED_VALUE"""),4)</f>
        <v>4</v>
      </c>
      <c r="I18" s="48">
        <f ca="1">IFERROR(__xludf.DUMMYFUNCTION("""COMPUTED_VALUE"""),0)</f>
        <v>0</v>
      </c>
      <c r="J18" s="48">
        <f ca="1">IFERROR(__xludf.DUMMYFUNCTION("""COMPUTED_VALUE"""),6)</f>
        <v>6</v>
      </c>
      <c r="K18" s="48">
        <f ca="1">IFERROR(__xludf.DUMMYFUNCTION("""COMPUTED_VALUE"""),0)</f>
        <v>0</v>
      </c>
      <c r="L18" s="48">
        <f ca="1">IFERROR(__xludf.DUMMYFUNCTION("""COMPUTED_VALUE"""),6)</f>
        <v>6</v>
      </c>
      <c r="M18" s="48">
        <f ca="1">IFERROR(__xludf.DUMMYFUNCTION("""COMPUTED_VALUE"""),5)</f>
        <v>5</v>
      </c>
      <c r="N18" s="48">
        <f ca="1">IFERROR(__xludf.DUMMYFUNCTION("""COMPUTED_VALUE"""),1)</f>
        <v>1</v>
      </c>
      <c r="O18" s="48">
        <f ca="1">IFERROR(__xludf.DUMMYFUNCTION("""COMPUTED_VALUE"""),5)</f>
        <v>5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IFERROR(__xludf.DUMMYFUNCTION("""COMPUTED_VALUE"""),29)</f>
        <v>29</v>
      </c>
    </row>
    <row r="19" spans="1:19">
      <c r="A19" s="46" t="str">
        <f ca="1">IFERROR(__xludf.DUMMYFUNCTION("""COMPUTED_VALUE"""),"VOLCAMIENTO VEHICULAR")</f>
        <v>VOLCAMIENTO VEHICULAR</v>
      </c>
      <c r="B19" s="46">
        <f ca="1">IFERROR(__xludf.DUMMYFUNCTION("""COMPUTED_VALUE"""),10)</f>
        <v>10</v>
      </c>
      <c r="C19" s="46" t="str">
        <f ca="1">IFERROR(__xludf.DUMMYFUNCTION("""COMPUTED_VALUE"""),"VOLCAMIENTO ATENDIDO")</f>
        <v>VOLCAMIENTO ATENDIDO</v>
      </c>
      <c r="D19" s="46" t="str">
        <f ca="1">IFERROR(__xludf.DUMMYFUNCTION("""COMPUTED_VALUE"""),"DECENDENTE")</f>
        <v>DECENDENTE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 t="str">
        <f ca="1">IFERROR(__xludf.DUMMYFUNCTION("""COMPUTED_VALUE"""),"ACCIDENTES DE TRANSITO")</f>
        <v>ACCIDENTES DE TRANSITO</v>
      </c>
      <c r="B20" s="46">
        <f ca="1">IFERROR(__xludf.DUMMYFUNCTION("""COMPUTED_VALUE"""),4)</f>
        <v>4</v>
      </c>
      <c r="C20" s="46" t="str">
        <f ca="1">IFERROR(__xludf.DUMMYFUNCTION("""COMPUTED_VALUE"""),"ACCIDENTE DE TRANSITO ATENDIDO")</f>
        <v>ACCIDENTE DE TRANSITO ATENDIDO</v>
      </c>
      <c r="D20" s="46" t="str">
        <f ca="1">IFERROR(__xludf.DUMMYFUNCTION("""COMPUTED_VALUE"""),"DECENDENTE")</f>
        <v>DECENDENTE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IFERROR(__xludf.DUMMYFUNCTION("""COMPUTED_VALUE"""),0)</f>
        <v>0</v>
      </c>
      <c r="G20" s="48">
        <f ca="1">IFERROR(__xludf.DUMMYFUNCTION("""COMPUTED_VALUE"""),0)</f>
        <v>0</v>
      </c>
      <c r="H20" s="48">
        <f ca="1">IFERROR(__xludf.DUMMYFUNCTION("""COMPUTED_VALUE"""),0)</f>
        <v>0</v>
      </c>
      <c r="I20" s="48">
        <f ca="1">IFERROR(__xludf.DUMMYFUNCTION("""COMPUTED_VALUE"""),0)</f>
        <v>0</v>
      </c>
      <c r="J20" s="48">
        <f ca="1">IFERROR(__xludf.DUMMYFUNCTION("""COMPUTED_VALUE"""),0)</f>
        <v>0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IFERROR(__xludf.DUMMYFUNCTION("""COMPUTED_VALUE"""),0)</f>
        <v>0</v>
      </c>
    </row>
    <row r="21" spans="1:19">
      <c r="A21" s="46" t="str">
        <f ca="1">IFERROR(__xludf.DUMMYFUNCTION("""COMPUTED_VALUE"""),"RESTO DE LAS CAUSAS")</f>
        <v>RESTO DE LAS CAUSAS</v>
      </c>
      <c r="B21" s="46">
        <f ca="1">IFERROR(__xludf.DUMMYFUNCTION("""COMPUTED_VALUE"""),75)</f>
        <v>75</v>
      </c>
      <c r="C21" s="46" t="str">
        <f ca="1">IFERROR(__xludf.DUMMYFUNCTION("""COMPUTED_VALUE"""),"RESTO DE CAUSAS ATENDIDAS")</f>
        <v>RESTO DE CAUSAS ATENDIDAS</v>
      </c>
      <c r="D21" s="46" t="str">
        <f ca="1">IFERROR(__xludf.DUMMYFUNCTION("""COMPUTED_VALUE"""),"DECENDENTE")</f>
        <v>DECENDENTE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IFERROR(__xludf.DUMMYFUNCTION("""COMPUTED_VALUE"""),461.333333333333)</f>
        <v>461.33333333333297</v>
      </c>
      <c r="G21" s="48">
        <f ca="1">IFERROR(__xludf.DUMMYFUNCTION("""COMPUTED_VALUE"""),153)</f>
        <v>153</v>
      </c>
      <c r="H21" s="48">
        <f ca="1">IFERROR(__xludf.DUMMYFUNCTION("""COMPUTED_VALUE"""),193)</f>
        <v>193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IFERROR(__xludf.DUMMYFUNCTION("""COMPUTED_VALUE"""),346)</f>
        <v>346</v>
      </c>
    </row>
    <row r="22" spans="1:19">
      <c r="A22" s="46" t="str">
        <f ca="1">IFERROR(__xludf.DUMMYFUNCTION("""COMPUTED_VALUE"""),"POR ACCIDENTE DE TRANSITO")</f>
        <v>POR ACCIDENTE DE TRANSITO</v>
      </c>
      <c r="B22" s="46">
        <f ca="1">IFERROR(__xludf.DUMMYFUNCTION("""COMPUTED_VALUE"""),50)</f>
        <v>50</v>
      </c>
      <c r="C22" s="46" t="str">
        <f ca="1">IFERROR(__xludf.DUMMYFUNCTION("""COMPUTED_VALUE"""),"ACCIDENTE DE TRANSITO ATENDIDO")</f>
        <v>ACCIDENTE DE TRANSITO ATENDIDO</v>
      </c>
      <c r="D22" s="46" t="str">
        <f ca="1">IFERROR(__xludf.DUMMYFUNCTION("""COMPUTED_VALUE"""),"DECENDENTE")</f>
        <v>DECENDENTE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IFERROR(__xludf.DUMMYFUNCTION("""COMPUTED_VALUE"""),0)</f>
        <v>0</v>
      </c>
      <c r="G22" s="48">
        <f ca="1">IFERROR(__xludf.DUMMYFUNCTION("""COMPUTED_VALUE"""),0)</f>
        <v>0</v>
      </c>
      <c r="H22" s="48">
        <f ca="1">IFERROR(__xludf.DUMMYFUNCTION("""COMPUTED_VALUE"""),0)</f>
        <v>0</v>
      </c>
      <c r="I22" s="48">
        <f ca="1">IFERROR(__xludf.DUMMYFUNCTION("""COMPUTED_VALUE"""),0)</f>
        <v>0</v>
      </c>
      <c r="J22" s="48">
        <f ca="1">IFERROR(__xludf.DUMMYFUNCTION("""COMPUTED_VALUE"""),0)</f>
        <v>0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IFERROR(__xludf.DUMMYFUNCTION("""COMPUTED_VALUE"""),0)</f>
        <v>0</v>
      </c>
      <c r="N22" s="48">
        <f ca="1">IFERROR(__xludf.DUMMYFUNCTION("""COMPUTED_VALUE"""),0)</f>
        <v>0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IFERROR(__xludf.DUMMYFUNCTION("""COMPUTED_VALUE"""),0)</f>
        <v>0</v>
      </c>
    </row>
    <row r="23" spans="1:19">
      <c r="A23" s="46" t="str">
        <f ca="1">IFERROR(__xludf.DUMMYFUNCTION("""COMPUTED_VALUE"""),"VOLCADURA")</f>
        <v>VOLCADURA</v>
      </c>
      <c r="B23" s="46">
        <f ca="1">IFERROR(__xludf.DUMMYFUNCTION("""COMPUTED_VALUE"""),55)</f>
        <v>55</v>
      </c>
      <c r="C23" s="46" t="str">
        <f ca="1">IFERROR(__xludf.DUMMYFUNCTION("""COMPUTED_VALUE"""),"VOLCADURA ATEDIDA")</f>
        <v>VOLCADURA ATEDIDA</v>
      </c>
      <c r="D23" s="46" t="str">
        <f ca="1">IFERROR(__xludf.DUMMYFUNCTION("""COMPUTED_VALUE"""),"DECENDENTE")</f>
        <v>DECENDENTE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IFERROR(__xludf.DUMMYFUNCTION("""COMPUTED_VALUE"""),0)</f>
        <v>0</v>
      </c>
      <c r="G23" s="48">
        <f ca="1">IFERROR(__xludf.DUMMYFUNCTION("""COMPUTED_VALUE"""),0)</f>
        <v>0</v>
      </c>
      <c r="H23" s="48">
        <f ca="1">IFERROR(__xludf.DUMMYFUNCTION("""COMPUTED_VALUE"""),0)</f>
        <v>0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IFERROR(__xludf.DUMMYFUNCTION("""COMPUTED_VALUE"""),0)</f>
        <v>0</v>
      </c>
      <c r="N23" s="48">
        <f ca="1">IFERROR(__xludf.DUMMYFUNCTION("""COMPUTED_VALUE"""),0)</f>
        <v>0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IFERROR(__xludf.DUMMYFUNCTION("""COMPUTED_VALUE"""),0)</f>
        <v>0</v>
      </c>
      <c r="S23" s="48">
        <f ca="1">IFERROR(__xludf.DUMMYFUNCTION("""COMPUTED_VALUE"""),0)</f>
        <v>0</v>
      </c>
    </row>
    <row r="24" spans="1:19">
      <c r="A24" s="46" t="str">
        <f ca="1">IFERROR(__xludf.DUMMYFUNCTION("""COMPUTED_VALUE"""),"UTILIZACION DE EQUIPO DE SOLDADURA")</f>
        <v>UTILIZACION DE EQUIPO DE SOLDADURA</v>
      </c>
      <c r="B24" s="46">
        <f ca="1">IFERROR(__xludf.DUMMYFUNCTION("""COMPUTED_VALUE"""),5)</f>
        <v>5</v>
      </c>
      <c r="C24" s="46" t="str">
        <f ca="1">IFERROR(__xludf.DUMMYFUNCTION("""COMPUTED_VALUE"""),"UTILIZACION DE EQUIPO DE SOLDADURA")</f>
        <v>UTILIZACION DE EQUIPO DE SOLDADURA</v>
      </c>
      <c r="D24" s="46" t="str">
        <f ca="1">IFERROR(__xludf.DUMMYFUNCTION("""COMPUTED_VALUE"""),"DECENDENTE")</f>
        <v>DECENDENTE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IFERROR(__xludf.DUMMYFUNCTION("""COMPUTED_VALUE"""),0)</f>
        <v>0</v>
      </c>
      <c r="G24" s="48">
        <f ca="1">IFERROR(__xludf.DUMMYFUNCTION("""COMPUTED_VALUE"""),0)</f>
        <v>0</v>
      </c>
      <c r="H24" s="48">
        <f ca="1">IFERROR(__xludf.DUMMYFUNCTION("""COMPUTED_VALUE"""),0)</f>
        <v>0</v>
      </c>
      <c r="I24" s="48">
        <f ca="1">IFERROR(__xludf.DUMMYFUNCTION("""COMPUTED_VALUE"""),0)</f>
        <v>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IFERROR(__xludf.DUMMYFUNCTION("""COMPUTED_VALUE"""),0)</f>
        <v>0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IFERROR(__xludf.DUMMYFUNCTION("""COMPUTED_VALUE"""),0)</f>
        <v>0</v>
      </c>
    </row>
    <row r="25" spans="1:19">
      <c r="A25" s="46" t="str">
        <f ca="1">IFERROR(__xludf.DUMMYFUNCTION("""COMPUTED_VALUE"""),"UTILIZACION INCORRECTA DE EQUIPO DE SOLDADURA")</f>
        <v>UTILIZACION INCORRECTA DE EQUIPO DE SOLDADURA</v>
      </c>
      <c r="B25" s="46">
        <f ca="1">IFERROR(__xludf.DUMMYFUNCTION("""COMPUTED_VALUE"""),10)</f>
        <v>10</v>
      </c>
      <c r="C25" s="46" t="str">
        <f ca="1">IFERROR(__xludf.DUMMYFUNCTION("""COMPUTED_VALUE"""),"ACCIDENTE POR UTILIZAR INCORRECTAMENTE EL EQUIPO DE SOLDADURA")</f>
        <v>ACCIDENTE POR UTILIZAR INCORRECTAMENTE EL EQUIPO DE SOLDADURA</v>
      </c>
      <c r="D25" s="46" t="str">
        <f ca="1">IFERROR(__xludf.DUMMYFUNCTION("""COMPUTED_VALUE"""),"DECENDENTE")</f>
        <v>DECENDENTE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IFERROR(__xludf.DUMMYFUNCTION("""COMPUTED_VALUE"""),0)</f>
        <v>0</v>
      </c>
      <c r="G25" s="48">
        <f ca="1">IFERROR(__xludf.DUMMYFUNCTION("""COMPUTED_VALUE"""),0)</f>
        <v>0</v>
      </c>
      <c r="H25" s="48">
        <f ca="1">IFERROR(__xludf.DUMMYFUNCTION("""COMPUTED_VALUE"""),0)</f>
        <v>0</v>
      </c>
      <c r="I25" s="48">
        <f ca="1">IFERROR(__xludf.DUMMYFUNCTION("""COMPUTED_VALUE"""),0)</f>
        <v>0</v>
      </c>
      <c r="J25" s="48">
        <f ca="1">IFERROR(__xludf.DUMMYFUNCTION("""COMPUTED_VALUE"""),0)</f>
        <v>0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IFERROR(__xludf.DUMMYFUNCTION("""COMPUTED_VALUE"""),0)</f>
        <v>0</v>
      </c>
    </row>
    <row r="26" spans="1:19">
      <c r="A26" s="46" t="str">
        <f ca="1">IFERROR(__xludf.DUMMYFUNCTION("""COMPUTED_VALUE"""),"FORESTAL ( QUEMA DE PASTIZALES)")</f>
        <v>FORESTAL ( QUEMA DE PASTIZALES)</v>
      </c>
      <c r="B26" s="46">
        <f ca="1">IFERROR(__xludf.DUMMYFUNCTION("""COMPUTED_VALUE"""),500)</f>
        <v>500</v>
      </c>
      <c r="C26" s="46" t="str">
        <f ca="1">IFERROR(__xludf.DUMMYFUNCTION("""COMPUTED_VALUE"""),"INCENDIO FORESTAL ATENDIDO")</f>
        <v>INCENDIO FORESTAL ATENDIDO</v>
      </c>
      <c r="D26" s="46" t="str">
        <f ca="1">IFERROR(__xludf.DUMMYFUNCTION("""COMPUTED_VALUE"""),"DECENDENTE")</f>
        <v>DECENDENTE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IFERROR(__xludf.DUMMYFUNCTION("""COMPUTED_VALUE"""),188.2)</f>
        <v>188.2</v>
      </c>
      <c r="G26" s="48">
        <f ca="1">IFERROR(__xludf.DUMMYFUNCTION("""COMPUTED_VALUE"""),22)</f>
        <v>22</v>
      </c>
      <c r="H26" s="48">
        <f ca="1">IFERROR(__xludf.DUMMYFUNCTION("""COMPUTED_VALUE"""),61)</f>
        <v>61</v>
      </c>
      <c r="I26" s="48">
        <f ca="1">IFERROR(__xludf.DUMMYFUNCTION("""COMPUTED_VALUE"""),0)</f>
        <v>0</v>
      </c>
      <c r="J26" s="48">
        <f ca="1">IFERROR(__xludf.DUMMYFUNCTION("""COMPUTED_VALUE"""),124)</f>
        <v>124</v>
      </c>
      <c r="K26" s="48">
        <f ca="1">IFERROR(__xludf.DUMMYFUNCTION("""COMPUTED_VALUE"""),127)</f>
        <v>127</v>
      </c>
      <c r="L26" s="48">
        <f ca="1">IFERROR(__xludf.DUMMYFUNCTION("""COMPUTED_VALUE"""),178)</f>
        <v>178</v>
      </c>
      <c r="M26" s="48">
        <f ca="1">IFERROR(__xludf.DUMMYFUNCTION("""COMPUTED_VALUE"""),124)</f>
        <v>124</v>
      </c>
      <c r="N26" s="48">
        <f ca="1">IFERROR(__xludf.DUMMYFUNCTION("""COMPUTED_VALUE"""),127)</f>
        <v>127</v>
      </c>
      <c r="O26" s="48">
        <f ca="1">IFERROR(__xludf.DUMMYFUNCTION("""COMPUTED_VALUE"""),178)</f>
        <v>178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IFERROR(__xludf.DUMMYFUNCTION("""COMPUTED_VALUE"""),941)</f>
        <v>941</v>
      </c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 summaryRight="0"/>
  </sheetPr>
  <dimension ref="A1:S995"/>
  <sheetViews>
    <sheetView workbookViewId="0"/>
  </sheetViews>
  <sheetFormatPr baseColWidth="10" defaultColWidth="11.1640625" defaultRowHeight="15" customHeight="1"/>
  <sheetData>
    <row r="1" spans="1:19">
      <c r="A1" s="46" t="str">
        <f ca="1">IFERROR(__xludf.DUMMYFUNCTION("IMPORTRANGE(""https://docs.google.com/spreadsheets/d/1vCVPjtTbwjOHxNoYk06lhTuwO4s4k9dNMLYqZgkkR78/edit?gid=54889057#gid=54889057"",""02!A1:S"")"),"INDICADORES")</f>
        <v>INDICADORES</v>
      </c>
      <c r="B1" s="46" t="str">
        <f ca="1">IFERROR(__xludf.DUMMYFUNCTION("""COMPUTED_VALUE"""),"META ANUAL")</f>
        <v>META ANUAL</v>
      </c>
      <c r="C1" s="46" t="str">
        <f ca="1">IFERROR(__xludf.DUMMYFUNCTION("""COMPUTED_VALUE"""),"UNIDAD DE MEDIDA")</f>
        <v>UNIDAD DE MEDIDA</v>
      </c>
      <c r="D1" s="46" t="str">
        <f ca="1">IFERROR(__xludf.DUMMYFUNCTION("""COMPUTED_VALUE"""),"TIPO DE INDICADOR")</f>
        <v>TIPO DE INDICADOR</v>
      </c>
      <c r="E1" s="46" t="str">
        <f ca="1">IFERROR(__xludf.DUMMYFUNCTION("""COMPUTED_VALUE"""),"MEDIO DE VERIFICACION")</f>
        <v>MEDIO DE VERIFICACION</v>
      </c>
      <c r="F1" s="46" t="str">
        <f ca="1">IFERROR(__xludf.DUMMYFUNCTION("""COMPUTED_VALUE"""),"% AVANCE ")</f>
        <v xml:space="preserve">% AVANCE </v>
      </c>
      <c r="G1" s="46" t="str">
        <f ca="1">IFERROR(__xludf.DUMMYFUNCTION("""COMPUTED_VALUE"""),"OCTUBRE")</f>
        <v>OCTUBRE</v>
      </c>
      <c r="H1" s="46" t="str">
        <f ca="1">IFERROR(__xludf.DUMMYFUNCTION("""COMPUTED_VALUE"""),"NOVIEMBRE")</f>
        <v>NOVIEMBRE</v>
      </c>
      <c r="I1" s="46" t="str">
        <f ca="1">IFERROR(__xludf.DUMMYFUNCTION("""COMPUTED_VALUE"""),"DICIEMBRE")</f>
        <v>DICIEMBRE</v>
      </c>
      <c r="J1" s="46" t="str">
        <f ca="1">IFERROR(__xludf.DUMMYFUNCTION("""COMPUTED_VALUE"""),"ENERO ")</f>
        <v xml:space="preserve">ENERO </v>
      </c>
      <c r="K1" s="46" t="str">
        <f ca="1">IFERROR(__xludf.DUMMYFUNCTION("""COMPUTED_VALUE"""),"FEBRERO")</f>
        <v>FEBRERO</v>
      </c>
      <c r="L1" s="46" t="str">
        <f ca="1">IFERROR(__xludf.DUMMYFUNCTION("""COMPUTED_VALUE"""),"MARZO")</f>
        <v>MARZO</v>
      </c>
      <c r="M1" s="46" t="str">
        <f ca="1">IFERROR(__xludf.DUMMYFUNCTION("""COMPUTED_VALUE"""),"ABRIL")</f>
        <v>ABRIL</v>
      </c>
      <c r="N1" s="46" t="str">
        <f ca="1">IFERROR(__xludf.DUMMYFUNCTION("""COMPUTED_VALUE"""),"MAYO")</f>
        <v>MAYO</v>
      </c>
      <c r="O1" s="46" t="str">
        <f ca="1">IFERROR(__xludf.DUMMYFUNCTION("""COMPUTED_VALUE"""),"JUNIO")</f>
        <v>JUNIO</v>
      </c>
      <c r="P1" s="46" t="str">
        <f ca="1">IFERROR(__xludf.DUMMYFUNCTION("""COMPUTED_VALUE"""),"JULIO")</f>
        <v>JULIO</v>
      </c>
      <c r="Q1" s="46" t="str">
        <f ca="1">IFERROR(__xludf.DUMMYFUNCTION("""COMPUTED_VALUE"""),"AGOSTO")</f>
        <v>AGOSTO</v>
      </c>
      <c r="R1" s="46" t="str">
        <f ca="1">IFERROR(__xludf.DUMMYFUNCTION("""COMPUTED_VALUE"""),"SEPTIEMBRE")</f>
        <v>SEPTIEMBRE</v>
      </c>
      <c r="S1" s="46" t="str">
        <f ca="1">IFERROR(__xludf.DUMMYFUNCTION("""COMPUTED_VALUE"""),"SUMATORIA TOTAL")</f>
        <v>SUMATORIA TOTAL</v>
      </c>
    </row>
    <row r="2" spans="1:19">
      <c r="A2" s="46" t="str">
        <f ca="1">IFERROR(__xludf.DUMMYFUNCTION("""COMPUTED_VALUE"""),"INCENDIO POR UTILIZACIÓN DE GAS INFLAMABLE")</f>
        <v>INCENDIO POR UTILIZACIÓN DE GAS INFLAMABLE</v>
      </c>
      <c r="B2" s="46">
        <f ca="1">IFERROR(__xludf.DUMMYFUNCTION("""COMPUTED_VALUE"""),10)</f>
        <v>10</v>
      </c>
      <c r="C2" s="46" t="str">
        <f ca="1">IFERROR(__xludf.DUMMYFUNCTION("""COMPUTED_VALUE"""),"INCENDIOS")</f>
        <v>INCENDIOS</v>
      </c>
      <c r="D2" s="46" t="str">
        <f ca="1">IFERROR(__xludf.DUMMYFUNCTION("""COMPUTED_VALUE"""),"DECENDENTE")</f>
        <v>DECENDENTE</v>
      </c>
      <c r="E2" s="46" t="str">
        <f ca="1">IFERROR(__xludf.DUMMYFUNCTION("""COMPUTED_VALUE"""),"SESIONES PUBLICAS")</f>
        <v>SESIONES PUBLICAS</v>
      </c>
      <c r="F2" s="47">
        <f ca="1">IFERROR(__xludf.DUMMYFUNCTION("""COMPUTED_VALUE"""),0)</f>
        <v>0</v>
      </c>
      <c r="G2" s="48">
        <f ca="1">IFERROR(__xludf.DUMMYFUNCTION("""COMPUTED_VALUE"""),0)</f>
        <v>0</v>
      </c>
      <c r="H2" s="48">
        <f ca="1">IFERROR(__xludf.DUMMYFUNCTION("""COMPUTED_VALUE"""),0)</f>
        <v>0</v>
      </c>
      <c r="I2" s="48">
        <f ca="1">IFERROR(__xludf.DUMMYFUNCTION("""COMPUTED_VALUE"""),0)</f>
        <v>0</v>
      </c>
      <c r="J2" s="48">
        <f ca="1">IFERROR(__xludf.DUMMYFUNCTION("""COMPUTED_VALUE"""),0)</f>
        <v>0</v>
      </c>
      <c r="K2" s="48">
        <f ca="1">IFERROR(__xludf.DUMMYFUNCTION("""COMPUTED_VALUE"""),0)</f>
        <v>0</v>
      </c>
      <c r="L2" s="48">
        <f ca="1">IFERROR(__xludf.DUMMYFUNCTION("""COMPUTED_VALUE"""),0)</f>
        <v>0</v>
      </c>
      <c r="M2" s="48">
        <f ca="1">IFERROR(__xludf.DUMMYFUNCTION("""COMPUTED_VALUE"""),0)</f>
        <v>0</v>
      </c>
      <c r="N2" s="48">
        <f ca="1">IFERROR(__xludf.DUMMYFUNCTION("""COMPUTED_VALUE"""),0)</f>
        <v>0</v>
      </c>
      <c r="O2" s="48">
        <f ca="1">IFERROR(__xludf.DUMMYFUNCTION("""COMPUTED_VALUE"""),0)</f>
        <v>0</v>
      </c>
      <c r="P2" s="48">
        <f ca="1">IFERROR(__xludf.DUMMYFUNCTION("""COMPUTED_VALUE"""),0)</f>
        <v>0</v>
      </c>
      <c r="Q2" s="48">
        <f ca="1">IFERROR(__xludf.DUMMYFUNCTION("""COMPUTED_VALUE"""),0)</f>
        <v>0</v>
      </c>
      <c r="R2" s="48">
        <f ca="1">IFERROR(__xludf.DUMMYFUNCTION("""COMPUTED_VALUE"""),0)</f>
        <v>0</v>
      </c>
      <c r="S2" s="48">
        <f ca="1">IFERROR(__xludf.DUMMYFUNCTION("""COMPUTED_VALUE"""),0)</f>
        <v>0</v>
      </c>
    </row>
    <row r="3" spans="1:19">
      <c r="A3" s="46" t="str">
        <f ca="1">IFERROR(__xludf.DUMMYFUNCTION("""COMPUTED_VALUE"""),"INCENDIO POR DESCUIDO (NEGLIGENCIA)")</f>
        <v>INCENDIO POR DESCUIDO (NEGLIGENCIA)</v>
      </c>
      <c r="B3" s="46">
        <f ca="1">IFERROR(__xludf.DUMMYFUNCTION("""COMPUTED_VALUE"""),30)</f>
        <v>30</v>
      </c>
      <c r="C3" s="46" t="str">
        <f ca="1">IFERROR(__xludf.DUMMYFUNCTION("""COMPUTED_VALUE"""),"INCENDIOS")</f>
        <v>INCENDIOS</v>
      </c>
      <c r="D3" s="46" t="str">
        <f ca="1">IFERROR(__xludf.DUMMYFUNCTION("""COMPUTED_VALUE"""),"DECENDENTE")</f>
        <v>DECENDENTE</v>
      </c>
      <c r="E3" s="46" t="str">
        <f ca="1">IFERROR(__xludf.DUMMYFUNCTION("""COMPUTED_VALUE"""),"BITACORA DE ATENCION")</f>
        <v>BITACORA DE ATENCION</v>
      </c>
      <c r="F3" s="47">
        <f ca="1">IFERROR(__xludf.DUMMYFUNCTION("""COMPUTED_VALUE"""),0)</f>
        <v>0</v>
      </c>
      <c r="G3" s="48">
        <f ca="1">IFERROR(__xludf.DUMMYFUNCTION("""COMPUTED_VALUE"""),0)</f>
        <v>0</v>
      </c>
      <c r="H3" s="48">
        <f ca="1">IFERROR(__xludf.DUMMYFUNCTION("""COMPUTED_VALUE"""),0)</f>
        <v>0</v>
      </c>
      <c r="I3" s="48">
        <f ca="1">IFERROR(__xludf.DUMMYFUNCTION("""COMPUTED_VALUE"""),0)</f>
        <v>0</v>
      </c>
      <c r="J3" s="48">
        <f ca="1">IFERROR(__xludf.DUMMYFUNCTION("""COMPUTED_VALUE"""),0)</f>
        <v>0</v>
      </c>
      <c r="K3" s="48">
        <f ca="1">IFERROR(__xludf.DUMMYFUNCTION("""COMPUTED_VALUE"""),0)</f>
        <v>0</v>
      </c>
      <c r="L3" s="48">
        <f ca="1">IFERROR(__xludf.DUMMYFUNCTION("""COMPUTED_VALUE"""),0)</f>
        <v>0</v>
      </c>
      <c r="M3" s="48">
        <f ca="1">IFERROR(__xludf.DUMMYFUNCTION("""COMPUTED_VALUE"""),0)</f>
        <v>0</v>
      </c>
      <c r="N3" s="48">
        <f ca="1">IFERROR(__xludf.DUMMYFUNCTION("""COMPUTED_VALUE"""),0)</f>
        <v>0</v>
      </c>
      <c r="O3" s="48">
        <f ca="1">IFERROR(__xludf.DUMMYFUNCTION("""COMPUTED_VALUE"""),0)</f>
        <v>0</v>
      </c>
      <c r="P3" s="48">
        <f ca="1">IFERROR(__xludf.DUMMYFUNCTION("""COMPUTED_VALUE"""),0)</f>
        <v>0</v>
      </c>
      <c r="Q3" s="48">
        <f ca="1">IFERROR(__xludf.DUMMYFUNCTION("""COMPUTED_VALUE"""),0)</f>
        <v>0</v>
      </c>
      <c r="R3" s="48">
        <f ca="1">IFERROR(__xludf.DUMMYFUNCTION("""COMPUTED_VALUE"""),0)</f>
        <v>0</v>
      </c>
      <c r="S3" s="48">
        <f ca="1">IFERROR(__xludf.DUMMYFUNCTION("""COMPUTED_VALUE"""),0)</f>
        <v>0</v>
      </c>
    </row>
    <row r="4" spans="1:19">
      <c r="A4" s="46" t="str">
        <f ca="1">IFERROR(__xludf.DUMMYFUNCTION("""COMPUTED_VALUE"""),"INCENDIO PROVOCADO / INCENDIO INTENCIONAL")</f>
        <v>INCENDIO PROVOCADO / INCENDIO INTENCIONAL</v>
      </c>
      <c r="B4" s="46">
        <f ca="1">IFERROR(__xludf.DUMMYFUNCTION("""COMPUTED_VALUE"""),15)</f>
        <v>15</v>
      </c>
      <c r="C4" s="46" t="str">
        <f ca="1">IFERROR(__xludf.DUMMYFUNCTION("""COMPUTED_VALUE"""),"INCENDIOS")</f>
        <v>INCENDIOS</v>
      </c>
      <c r="D4" s="46" t="str">
        <f ca="1">IFERROR(__xludf.DUMMYFUNCTION("""COMPUTED_VALUE"""),"DECENDENTE")</f>
        <v>DECENDENTE</v>
      </c>
      <c r="E4" s="46" t="str">
        <f ca="1">IFERROR(__xludf.DUMMYFUNCTION("""COMPUTED_VALUE"""),"BITACORA DE ATENCION")</f>
        <v>BITACORA DE ATENCION</v>
      </c>
      <c r="F4" s="47">
        <f ca="1">IFERROR(__xludf.DUMMYFUNCTION("""COMPUTED_VALUE"""),0)</f>
        <v>0</v>
      </c>
      <c r="G4" s="48">
        <f ca="1">IFERROR(__xludf.DUMMYFUNCTION("""COMPUTED_VALUE"""),0)</f>
        <v>0</v>
      </c>
      <c r="H4" s="48">
        <f ca="1">IFERROR(__xludf.DUMMYFUNCTION("""COMPUTED_VALUE"""),0)</f>
        <v>0</v>
      </c>
      <c r="I4" s="48">
        <f ca="1">IFERROR(__xludf.DUMMYFUNCTION("""COMPUTED_VALUE"""),0)</f>
        <v>0</v>
      </c>
      <c r="J4" s="48">
        <f ca="1">IFERROR(__xludf.DUMMYFUNCTION("""COMPUTED_VALUE"""),0)</f>
        <v>0</v>
      </c>
      <c r="K4" s="48">
        <f ca="1">IFERROR(__xludf.DUMMYFUNCTION("""COMPUTED_VALUE"""),0)</f>
        <v>0</v>
      </c>
      <c r="L4" s="48">
        <f ca="1">IFERROR(__xludf.DUMMYFUNCTION("""COMPUTED_VALUE"""),0)</f>
        <v>0</v>
      </c>
      <c r="M4" s="48">
        <f ca="1">IFERROR(__xludf.DUMMYFUNCTION("""COMPUTED_VALUE"""),0)</f>
        <v>0</v>
      </c>
      <c r="N4" s="48">
        <f ca="1">IFERROR(__xludf.DUMMYFUNCTION("""COMPUTED_VALUE"""),0)</f>
        <v>0</v>
      </c>
      <c r="O4" s="48">
        <f ca="1">IFERROR(__xludf.DUMMYFUNCTION("""COMPUTED_VALUE"""),0)</f>
        <v>0</v>
      </c>
      <c r="P4" s="48">
        <f ca="1">IFERROR(__xludf.DUMMYFUNCTION("""COMPUTED_VALUE"""),0)</f>
        <v>0</v>
      </c>
      <c r="Q4" s="48">
        <f ca="1">IFERROR(__xludf.DUMMYFUNCTION("""COMPUTED_VALUE"""),0)</f>
        <v>0</v>
      </c>
      <c r="R4" s="48">
        <f ca="1">IFERROR(__xludf.DUMMYFUNCTION("""COMPUTED_VALUE"""),0)</f>
        <v>0</v>
      </c>
      <c r="S4" s="48">
        <f ca="1">IFERROR(__xludf.DUMMYFUNCTION("""COMPUTED_VALUE"""),0)</f>
        <v>0</v>
      </c>
    </row>
    <row r="5" spans="1:19">
      <c r="A5" s="46" t="str">
        <f ca="1">IFERROR(__xludf.DUMMYFUNCTION("""COMPUTED_VALUE"""),"DERRAME DE COMBUESTIBLE/ FUGA DE GAS")</f>
        <v>DERRAME DE COMBUESTIBLE/ FUGA DE GAS</v>
      </c>
      <c r="B5" s="46">
        <f ca="1">IFERROR(__xludf.DUMMYFUNCTION("""COMPUTED_VALUE"""),50)</f>
        <v>50</v>
      </c>
      <c r="C5" s="46" t="str">
        <f ca="1">IFERROR(__xludf.DUMMYFUNCTION("""COMPUTED_VALUE"""),"INCENDIOS")</f>
        <v>INCENDIOS</v>
      </c>
      <c r="D5" s="46" t="str">
        <f ca="1">IFERROR(__xludf.DUMMYFUNCTION("""COMPUTED_VALUE"""),"DECENDENTE")</f>
        <v>DECENDENTE</v>
      </c>
      <c r="E5" s="46" t="str">
        <f ca="1">IFERROR(__xludf.DUMMYFUNCTION("""COMPUTED_VALUE"""),"BITACORA OPERATIVA")</f>
        <v>BITACORA OPERATIVA</v>
      </c>
      <c r="F5" s="47">
        <f ca="1">IFERROR(__xludf.DUMMYFUNCTION("""COMPUTED_VALUE"""),0)</f>
        <v>0</v>
      </c>
      <c r="G5" s="48">
        <f ca="1">IFERROR(__xludf.DUMMYFUNCTION("""COMPUTED_VALUE"""),0)</f>
        <v>0</v>
      </c>
      <c r="H5" s="48">
        <f ca="1">IFERROR(__xludf.DUMMYFUNCTION("""COMPUTED_VALUE"""),0)</f>
        <v>0</v>
      </c>
      <c r="I5" s="48">
        <f ca="1">IFERROR(__xludf.DUMMYFUNCTION("""COMPUTED_VALUE"""),0)</f>
        <v>0</v>
      </c>
      <c r="J5" s="48">
        <f ca="1">IFERROR(__xludf.DUMMYFUNCTION("""COMPUTED_VALUE"""),0)</f>
        <v>0</v>
      </c>
      <c r="K5" s="48">
        <f ca="1">IFERROR(__xludf.DUMMYFUNCTION("""COMPUTED_VALUE"""),0)</f>
        <v>0</v>
      </c>
      <c r="L5" s="48">
        <f ca="1">IFERROR(__xludf.DUMMYFUNCTION("""COMPUTED_VALUE"""),0)</f>
        <v>0</v>
      </c>
      <c r="M5" s="48">
        <f ca="1">IFERROR(__xludf.DUMMYFUNCTION("""COMPUTED_VALUE"""),0)</f>
        <v>0</v>
      </c>
      <c r="N5" s="48">
        <f ca="1">IFERROR(__xludf.DUMMYFUNCTION("""COMPUTED_VALUE"""),0)</f>
        <v>0</v>
      </c>
      <c r="O5" s="48">
        <f ca="1">IFERROR(__xludf.DUMMYFUNCTION("""COMPUTED_VALUE"""),0)</f>
        <v>0</v>
      </c>
      <c r="P5" s="48">
        <f ca="1">IFERROR(__xludf.DUMMYFUNCTION("""COMPUTED_VALUE"""),0)</f>
        <v>0</v>
      </c>
      <c r="Q5" s="48">
        <f ca="1">IFERROR(__xludf.DUMMYFUNCTION("""COMPUTED_VALUE"""),0)</f>
        <v>0</v>
      </c>
      <c r="R5" s="48">
        <f ca="1">IFERROR(__xludf.DUMMYFUNCTION("""COMPUTED_VALUE"""),0)</f>
        <v>0</v>
      </c>
      <c r="S5" s="48">
        <f ca="1">IFERROR(__xludf.DUMMYFUNCTION("""COMPUTED_VALUE"""),0)</f>
        <v>0</v>
      </c>
    </row>
    <row r="6" spans="1:19">
      <c r="A6" s="46" t="str">
        <f ca="1">IFERROR(__xludf.DUMMYFUNCTION("""COMPUTED_VALUE"""),"RECALENTAMIENTO DE MATERIALES")</f>
        <v>RECALENTAMIENTO DE MATERIALES</v>
      </c>
      <c r="B6" s="46">
        <f ca="1">IFERROR(__xludf.DUMMYFUNCTION("""COMPUTED_VALUE"""),10)</f>
        <v>10</v>
      </c>
      <c r="C6" s="46" t="str">
        <f ca="1">IFERROR(__xludf.DUMMYFUNCTION("""COMPUTED_VALUE"""),"INCENDIOS")</f>
        <v>INCENDIOS</v>
      </c>
      <c r="D6" s="46" t="str">
        <f ca="1">IFERROR(__xludf.DUMMYFUNCTION("""COMPUTED_VALUE"""),"DECENDENTE")</f>
        <v>DECENDENTE</v>
      </c>
      <c r="E6" s="46" t="str">
        <f ca="1">IFERROR(__xludf.DUMMYFUNCTION("""COMPUTED_VALUE"""),"BITACORA OPERATIVA")</f>
        <v>BITACORA OPERATIVA</v>
      </c>
      <c r="F6" s="47">
        <f ca="1">IFERROR(__xludf.DUMMYFUNCTION("""COMPUTED_VALUE"""),0)</f>
        <v>0</v>
      </c>
      <c r="G6" s="48">
        <f ca="1">IFERROR(__xludf.DUMMYFUNCTION("""COMPUTED_VALUE"""),0)</f>
        <v>0</v>
      </c>
      <c r="H6" s="48">
        <f ca="1">IFERROR(__xludf.DUMMYFUNCTION("""COMPUTED_VALUE"""),0)</f>
        <v>0</v>
      </c>
      <c r="I6" s="48">
        <f ca="1">IFERROR(__xludf.DUMMYFUNCTION("""COMPUTED_VALUE"""),0)</f>
        <v>0</v>
      </c>
      <c r="J6" s="48">
        <f ca="1">IFERROR(__xludf.DUMMYFUNCTION("""COMPUTED_VALUE"""),0)</f>
        <v>0</v>
      </c>
      <c r="K6" s="48">
        <f ca="1">IFERROR(__xludf.DUMMYFUNCTION("""COMPUTED_VALUE"""),0)</f>
        <v>0</v>
      </c>
      <c r="L6" s="48">
        <f ca="1">IFERROR(__xludf.DUMMYFUNCTION("""COMPUTED_VALUE"""),0)</f>
        <v>0</v>
      </c>
      <c r="M6" s="48">
        <f ca="1">IFERROR(__xludf.DUMMYFUNCTION("""COMPUTED_VALUE"""),0)</f>
        <v>0</v>
      </c>
      <c r="N6" s="48">
        <f ca="1">IFERROR(__xludf.DUMMYFUNCTION("""COMPUTED_VALUE"""),0)</f>
        <v>0</v>
      </c>
      <c r="O6" s="48">
        <f ca="1">IFERROR(__xludf.DUMMYFUNCTION("""COMPUTED_VALUE"""),0)</f>
        <v>0</v>
      </c>
      <c r="P6" s="48">
        <f ca="1">IFERROR(__xludf.DUMMYFUNCTION("""COMPUTED_VALUE"""),0)</f>
        <v>0</v>
      </c>
      <c r="Q6" s="48">
        <f ca="1">IFERROR(__xludf.DUMMYFUNCTION("""COMPUTED_VALUE"""),0)</f>
        <v>0</v>
      </c>
      <c r="R6" s="48">
        <f ca="1">IFERROR(__xludf.DUMMYFUNCTION("""COMPUTED_VALUE"""),0)</f>
        <v>0</v>
      </c>
      <c r="S6" s="48">
        <f ca="1">IFERROR(__xludf.DUMMYFUNCTION("""COMPUTED_VALUE"""),0)</f>
        <v>0</v>
      </c>
    </row>
    <row r="7" spans="1:19">
      <c r="A7" s="46" t="str">
        <f ca="1">IFERROR(__xludf.DUMMYFUNCTION("""COMPUTED_VALUE"""),"CHOQUE DE VEHICULOS")</f>
        <v>CHOQUE DE VEHICULOS</v>
      </c>
      <c r="B7" s="46">
        <f ca="1">IFERROR(__xludf.DUMMYFUNCTION("""COMPUTED_VALUE"""),7)</f>
        <v>7</v>
      </c>
      <c r="C7" s="46" t="str">
        <f ca="1">IFERROR(__xludf.DUMMYFUNCTION("""COMPUTED_VALUE"""),"INCENDIO DERIBADO DE CHOQUE VEHICULAR ATENDIDO")</f>
        <v>INCENDIO DERIBADO DE CHOQUE VEHICULAR ATENDIDO</v>
      </c>
      <c r="D7" s="46" t="str">
        <f ca="1">IFERROR(__xludf.DUMMYFUNCTION("""COMPUTED_VALUE"""),"DECENDENTE")</f>
        <v>DECENDENTE</v>
      </c>
      <c r="E7" s="46" t="str">
        <f ca="1">IFERROR(__xludf.DUMMYFUNCTION("""COMPUTED_VALUE"""),"BITACORA OPERATIVA")</f>
        <v>BITACORA OPERATIVA</v>
      </c>
      <c r="F7" s="47">
        <f ca="1">IFERROR(__xludf.DUMMYFUNCTION("""COMPUTED_VALUE"""),0)</f>
        <v>0</v>
      </c>
      <c r="G7" s="48">
        <f ca="1">IFERROR(__xludf.DUMMYFUNCTION("""COMPUTED_VALUE"""),0)</f>
        <v>0</v>
      </c>
      <c r="H7" s="48">
        <f ca="1">IFERROR(__xludf.DUMMYFUNCTION("""COMPUTED_VALUE"""),0)</f>
        <v>0</v>
      </c>
      <c r="I7" s="48">
        <f ca="1">IFERROR(__xludf.DUMMYFUNCTION("""COMPUTED_VALUE"""),0)</f>
        <v>0</v>
      </c>
      <c r="J7" s="48">
        <f ca="1">IFERROR(__xludf.DUMMYFUNCTION("""COMPUTED_VALUE"""),0)</f>
        <v>0</v>
      </c>
      <c r="K7" s="48">
        <f ca="1">IFERROR(__xludf.DUMMYFUNCTION("""COMPUTED_VALUE"""),0)</f>
        <v>0</v>
      </c>
      <c r="L7" s="48">
        <f ca="1">IFERROR(__xludf.DUMMYFUNCTION("""COMPUTED_VALUE"""),0)</f>
        <v>0</v>
      </c>
      <c r="M7" s="48">
        <f ca="1">IFERROR(__xludf.DUMMYFUNCTION("""COMPUTED_VALUE"""),0)</f>
        <v>0</v>
      </c>
      <c r="N7" s="48">
        <f ca="1">IFERROR(__xludf.DUMMYFUNCTION("""COMPUTED_VALUE"""),0)</f>
        <v>0</v>
      </c>
      <c r="O7" s="48">
        <f ca="1">IFERROR(__xludf.DUMMYFUNCTION("""COMPUTED_VALUE"""),0)</f>
        <v>0</v>
      </c>
      <c r="P7" s="48">
        <f ca="1">IFERROR(__xludf.DUMMYFUNCTION("""COMPUTED_VALUE"""),0)</f>
        <v>0</v>
      </c>
      <c r="Q7" s="48">
        <f ca="1">IFERROR(__xludf.DUMMYFUNCTION("""COMPUTED_VALUE"""),0)</f>
        <v>0</v>
      </c>
      <c r="R7" s="48">
        <f ca="1">IFERROR(__xludf.DUMMYFUNCTION("""COMPUTED_VALUE"""),0)</f>
        <v>0</v>
      </c>
      <c r="S7" s="48">
        <f ca="1">IFERROR(__xludf.DUMMYFUNCTION("""COMPUTED_VALUE"""),0)</f>
        <v>0</v>
      </c>
    </row>
    <row r="8" spans="1:19">
      <c r="A8" s="46" t="str">
        <f ca="1">IFERROR(__xludf.DUMMYFUNCTION("""COMPUTED_VALUE"""),"INCENDIO ACCIDENTAL")</f>
        <v>INCENDIO ACCIDENTAL</v>
      </c>
      <c r="B8" s="46">
        <f ca="1">IFERROR(__xludf.DUMMYFUNCTION("""COMPUTED_VALUE"""),4)</f>
        <v>4</v>
      </c>
      <c r="C8" s="46" t="str">
        <f ca="1">IFERROR(__xludf.DUMMYFUNCTION("""COMPUTED_VALUE"""),"INCENDIO ACCIDENTAL ATENDIDO")</f>
        <v>INCENDIO ACCIDENTAL ATENDIDO</v>
      </c>
      <c r="D8" s="46" t="str">
        <f ca="1">IFERROR(__xludf.DUMMYFUNCTION("""COMPUTED_VALUE"""),"DECENDENTE")</f>
        <v>DECENDENTE</v>
      </c>
      <c r="E8" s="46" t="str">
        <f ca="1">IFERROR(__xludf.DUMMYFUNCTION("""COMPUTED_VALUE"""),"BITACORA OPERATIVA")</f>
        <v>BITACORA OPERATIVA</v>
      </c>
      <c r="F8" s="47">
        <f ca="1">IFERROR(__xludf.DUMMYFUNCTION("""COMPUTED_VALUE"""),0)</f>
        <v>0</v>
      </c>
      <c r="G8" s="48">
        <f ca="1">IFERROR(__xludf.DUMMYFUNCTION("""COMPUTED_VALUE"""),0)</f>
        <v>0</v>
      </c>
      <c r="H8" s="48">
        <f ca="1">IFERROR(__xludf.DUMMYFUNCTION("""COMPUTED_VALUE"""),0)</f>
        <v>0</v>
      </c>
      <c r="I8" s="48">
        <f ca="1">IFERROR(__xludf.DUMMYFUNCTION("""COMPUTED_VALUE"""),0)</f>
        <v>0</v>
      </c>
      <c r="J8" s="48">
        <f ca="1">IFERROR(__xludf.DUMMYFUNCTION("""COMPUTED_VALUE"""),0)</f>
        <v>0</v>
      </c>
      <c r="K8" s="48">
        <f ca="1">IFERROR(__xludf.DUMMYFUNCTION("""COMPUTED_VALUE"""),0)</f>
        <v>0</v>
      </c>
      <c r="L8" s="48">
        <f ca="1">IFERROR(__xludf.DUMMYFUNCTION("""COMPUTED_VALUE"""),0)</f>
        <v>0</v>
      </c>
      <c r="M8" s="48">
        <f ca="1">IFERROR(__xludf.DUMMYFUNCTION("""COMPUTED_VALUE"""),0)</f>
        <v>0</v>
      </c>
      <c r="N8" s="48">
        <f ca="1">IFERROR(__xludf.DUMMYFUNCTION("""COMPUTED_VALUE"""),0)</f>
        <v>0</v>
      </c>
      <c r="O8" s="48">
        <f ca="1">IFERROR(__xludf.DUMMYFUNCTION("""COMPUTED_VALUE"""),0)</f>
        <v>0</v>
      </c>
      <c r="P8" s="48">
        <f ca="1">IFERROR(__xludf.DUMMYFUNCTION("""COMPUTED_VALUE"""),0)</f>
        <v>0</v>
      </c>
      <c r="Q8" s="48">
        <f ca="1">IFERROR(__xludf.DUMMYFUNCTION("""COMPUTED_VALUE"""),0)</f>
        <v>0</v>
      </c>
      <c r="R8" s="48">
        <f ca="1">IFERROR(__xludf.DUMMYFUNCTION("""COMPUTED_VALUE"""),0)</f>
        <v>0</v>
      </c>
      <c r="S8" s="48">
        <f ca="1">IFERROR(__xludf.DUMMYFUNCTION("""COMPUTED_VALUE"""),0)</f>
        <v>0</v>
      </c>
    </row>
    <row r="9" spans="1:19">
      <c r="A9" s="46" t="str">
        <f ca="1">IFERROR(__xludf.DUMMYFUNCTION("""COMPUTED_VALUE"""),"EXPLOSIONES ")</f>
        <v xml:space="preserve">EXPLOSIONES </v>
      </c>
      <c r="B9" s="46">
        <f ca="1">IFERROR(__xludf.DUMMYFUNCTION("""COMPUTED_VALUE"""),5)</f>
        <v>5</v>
      </c>
      <c r="C9" s="46" t="str">
        <f ca="1">IFERROR(__xludf.DUMMYFUNCTION("""COMPUTED_VALUE"""),"EXPLOSION ATENDIDA")</f>
        <v>EXPLOSION ATENDIDA</v>
      </c>
      <c r="D9" s="46" t="str">
        <f ca="1">IFERROR(__xludf.DUMMYFUNCTION("""COMPUTED_VALUE"""),"DECENDENTE")</f>
        <v>DECENDENTE</v>
      </c>
      <c r="E9" s="46" t="str">
        <f ca="1">IFERROR(__xludf.DUMMYFUNCTION("""COMPUTED_VALUE"""),"BITACORA OPERATIVA")</f>
        <v>BITACORA OPERATIVA</v>
      </c>
      <c r="F9" s="47">
        <f ca="1">IFERROR(__xludf.DUMMYFUNCTION("""COMPUTED_VALUE"""),0)</f>
        <v>0</v>
      </c>
      <c r="G9" s="48">
        <f ca="1">IFERROR(__xludf.DUMMYFUNCTION("""COMPUTED_VALUE"""),0)</f>
        <v>0</v>
      </c>
      <c r="H9" s="48">
        <f ca="1">IFERROR(__xludf.DUMMYFUNCTION("""COMPUTED_VALUE"""),0)</f>
        <v>0</v>
      </c>
      <c r="I9" s="48">
        <f ca="1">IFERROR(__xludf.DUMMYFUNCTION("""COMPUTED_VALUE"""),0)</f>
        <v>0</v>
      </c>
      <c r="J9" s="48">
        <f ca="1">IFERROR(__xludf.DUMMYFUNCTION("""COMPUTED_VALUE"""),0)</f>
        <v>0</v>
      </c>
      <c r="K9" s="48">
        <f ca="1">IFERROR(__xludf.DUMMYFUNCTION("""COMPUTED_VALUE"""),0)</f>
        <v>0</v>
      </c>
      <c r="L9" s="48">
        <f ca="1">IFERROR(__xludf.DUMMYFUNCTION("""COMPUTED_VALUE"""),0)</f>
        <v>0</v>
      </c>
      <c r="M9" s="48">
        <f ca="1">IFERROR(__xludf.DUMMYFUNCTION("""COMPUTED_VALUE"""),0)</f>
        <v>0</v>
      </c>
      <c r="N9" s="48">
        <f ca="1">IFERROR(__xludf.DUMMYFUNCTION("""COMPUTED_VALUE"""),0)</f>
        <v>0</v>
      </c>
      <c r="O9" s="48">
        <f ca="1">IFERROR(__xludf.DUMMYFUNCTION("""COMPUTED_VALUE"""),0)</f>
        <v>0</v>
      </c>
      <c r="P9" s="48">
        <f ca="1">IFERROR(__xludf.DUMMYFUNCTION("""COMPUTED_VALUE"""),0)</f>
        <v>0</v>
      </c>
      <c r="Q9" s="48">
        <f ca="1">IFERROR(__xludf.DUMMYFUNCTION("""COMPUTED_VALUE"""),0)</f>
        <v>0</v>
      </c>
      <c r="R9" s="48">
        <f ca="1">IFERROR(__xludf.DUMMYFUNCTION("""COMPUTED_VALUE"""),0)</f>
        <v>0</v>
      </c>
      <c r="S9" s="48">
        <f ca="1">IFERROR(__xludf.DUMMYFUNCTION("""COMPUTED_VALUE"""),0)</f>
        <v>0</v>
      </c>
    </row>
    <row r="10" spans="1:19">
      <c r="A10" s="46" t="str">
        <f ca="1">IFERROR(__xludf.DUMMYFUNCTION("""COMPUTED_VALUE"""),"FUEGO DIRECTO")</f>
        <v>FUEGO DIRECTO</v>
      </c>
      <c r="B10" s="46">
        <f ca="1">IFERROR(__xludf.DUMMYFUNCTION("""COMPUTED_VALUE"""),40)</f>
        <v>40</v>
      </c>
      <c r="C10" s="46" t="str">
        <f ca="1">IFERROR(__xludf.DUMMYFUNCTION("""COMPUTED_VALUE"""),"INCENDIO POR FUEGO DIRECTO ATENDIDO")</f>
        <v>INCENDIO POR FUEGO DIRECTO ATENDIDO</v>
      </c>
      <c r="D10" s="46" t="str">
        <f ca="1">IFERROR(__xludf.DUMMYFUNCTION("""COMPUTED_VALUE"""),"DECENDENTE")</f>
        <v>DECENDENTE</v>
      </c>
      <c r="E10" s="46" t="str">
        <f ca="1">IFERROR(__xludf.DUMMYFUNCTION("""COMPUTED_VALUE"""),"BITACORA OPERATIVA")</f>
        <v>BITACORA OPERATIVA</v>
      </c>
      <c r="F10" s="47">
        <f ca="1">IFERROR(__xludf.DUMMYFUNCTION("""COMPUTED_VALUE"""),0)</f>
        <v>0</v>
      </c>
      <c r="G10" s="48">
        <f ca="1">IFERROR(__xludf.DUMMYFUNCTION("""COMPUTED_VALUE"""),0)</f>
        <v>0</v>
      </c>
      <c r="H10" s="48">
        <f ca="1">IFERROR(__xludf.DUMMYFUNCTION("""COMPUTED_VALUE"""),0)</f>
        <v>0</v>
      </c>
      <c r="I10" s="48">
        <f ca="1">IFERROR(__xludf.DUMMYFUNCTION("""COMPUTED_VALUE"""),0)</f>
        <v>0</v>
      </c>
      <c r="J10" s="48">
        <f ca="1">IFERROR(__xludf.DUMMYFUNCTION("""COMPUTED_VALUE"""),0)</f>
        <v>0</v>
      </c>
      <c r="K10" s="48">
        <f ca="1">IFERROR(__xludf.DUMMYFUNCTION("""COMPUTED_VALUE"""),0)</f>
        <v>0</v>
      </c>
      <c r="L10" s="48">
        <f ca="1">IFERROR(__xludf.DUMMYFUNCTION("""COMPUTED_VALUE"""),0)</f>
        <v>0</v>
      </c>
      <c r="M10" s="48">
        <f ca="1">IFERROR(__xludf.DUMMYFUNCTION("""COMPUTED_VALUE"""),0)</f>
        <v>0</v>
      </c>
      <c r="N10" s="48">
        <f ca="1">IFERROR(__xludf.DUMMYFUNCTION("""COMPUTED_VALUE"""),0)</f>
        <v>0</v>
      </c>
      <c r="O10" s="48">
        <f ca="1">IFERROR(__xludf.DUMMYFUNCTION("""COMPUTED_VALUE"""),0)</f>
        <v>0</v>
      </c>
      <c r="P10" s="48">
        <f ca="1">IFERROR(__xludf.DUMMYFUNCTION("""COMPUTED_VALUE"""),0)</f>
        <v>0</v>
      </c>
      <c r="Q10" s="48">
        <f ca="1">IFERROR(__xludf.DUMMYFUNCTION("""COMPUTED_VALUE"""),0)</f>
        <v>0</v>
      </c>
      <c r="R10" s="48">
        <f ca="1">IFERROR(__xludf.DUMMYFUNCTION("""COMPUTED_VALUE"""),0)</f>
        <v>0</v>
      </c>
      <c r="S10" s="48">
        <f ca="1">IFERROR(__xludf.DUMMYFUNCTION("""COMPUTED_VALUE"""),0)</f>
        <v>0</v>
      </c>
    </row>
    <row r="11" spans="1:19">
      <c r="A11" s="46" t="str">
        <f ca="1">IFERROR(__xludf.DUMMYFUNCTION("""COMPUTED_VALUE"""),"QUEMA DE BASURA")</f>
        <v>QUEMA DE BASURA</v>
      </c>
      <c r="B11" s="46">
        <f ca="1">IFERROR(__xludf.DUMMYFUNCTION("""COMPUTED_VALUE"""),16)</f>
        <v>16</v>
      </c>
      <c r="C11" s="46" t="str">
        <f ca="1">IFERROR(__xludf.DUMMYFUNCTION("""COMPUTED_VALUE"""),"INCENDIO POR QUEMA DE BASURA ATENDIDO")</f>
        <v>INCENDIO POR QUEMA DE BASURA ATENDIDO</v>
      </c>
      <c r="D11" s="46" t="str">
        <f ca="1">IFERROR(__xludf.DUMMYFUNCTION("""COMPUTED_VALUE"""),"DECENDENTE")</f>
        <v>DECENDENTE</v>
      </c>
      <c r="E11" s="46" t="str">
        <f ca="1">IFERROR(__xludf.DUMMYFUNCTION("""COMPUTED_VALUE"""),"BITACORA OPERATIVA")</f>
        <v>BITACORA OPERATIVA</v>
      </c>
      <c r="F11" s="47">
        <f ca="1">IFERROR(__xludf.DUMMYFUNCTION("""COMPUTED_VALUE"""),0)</f>
        <v>0</v>
      </c>
      <c r="G11" s="48">
        <f ca="1">IFERROR(__xludf.DUMMYFUNCTION("""COMPUTED_VALUE"""),0)</f>
        <v>0</v>
      </c>
      <c r="H11" s="48">
        <f ca="1">IFERROR(__xludf.DUMMYFUNCTION("""COMPUTED_VALUE"""),0)</f>
        <v>0</v>
      </c>
      <c r="I11" s="48">
        <f ca="1">IFERROR(__xludf.DUMMYFUNCTION("""COMPUTED_VALUE"""),0)</f>
        <v>0</v>
      </c>
      <c r="J11" s="48">
        <f ca="1">IFERROR(__xludf.DUMMYFUNCTION("""COMPUTED_VALUE"""),0)</f>
        <v>0</v>
      </c>
      <c r="K11" s="48">
        <f ca="1">IFERROR(__xludf.DUMMYFUNCTION("""COMPUTED_VALUE"""),0)</f>
        <v>0</v>
      </c>
      <c r="L11" s="48">
        <f ca="1">IFERROR(__xludf.DUMMYFUNCTION("""COMPUTED_VALUE"""),0)</f>
        <v>0</v>
      </c>
      <c r="M11" s="48">
        <f ca="1">IFERROR(__xludf.DUMMYFUNCTION("""COMPUTED_VALUE"""),0)</f>
        <v>0</v>
      </c>
      <c r="N11" s="48">
        <f ca="1">IFERROR(__xludf.DUMMYFUNCTION("""COMPUTED_VALUE"""),0)</f>
        <v>0</v>
      </c>
      <c r="O11" s="48">
        <f ca="1">IFERROR(__xludf.DUMMYFUNCTION("""COMPUTED_VALUE"""),0)</f>
        <v>0</v>
      </c>
      <c r="P11" s="48">
        <f ca="1">IFERROR(__xludf.DUMMYFUNCTION("""COMPUTED_VALUE"""),0)</f>
        <v>0</v>
      </c>
      <c r="Q11" s="48">
        <f ca="1">IFERROR(__xludf.DUMMYFUNCTION("""COMPUTED_VALUE"""),0)</f>
        <v>0</v>
      </c>
      <c r="R11" s="48">
        <f ca="1">IFERROR(__xludf.DUMMYFUNCTION("""COMPUTED_VALUE"""),0)</f>
        <v>0</v>
      </c>
      <c r="S11" s="48">
        <f ca="1">IFERROR(__xludf.DUMMYFUNCTION("""COMPUTED_VALUE"""),0)</f>
        <v>0</v>
      </c>
    </row>
    <row r="12" spans="1:19">
      <c r="A12" s="46" t="str">
        <f ca="1">IFERROR(__xludf.DUMMYFUNCTION("""COMPUTED_VALUE"""),"PROPAGACION DE FUEGO")</f>
        <v>PROPAGACION DE FUEGO</v>
      </c>
      <c r="B12" s="46">
        <f ca="1">IFERROR(__xludf.DUMMYFUNCTION("""COMPUTED_VALUE"""),3)</f>
        <v>3</v>
      </c>
      <c r="C12" s="46" t="str">
        <f ca="1">IFERROR(__xludf.DUMMYFUNCTION("""COMPUTED_VALUE"""),"INCENDIO POR PROPAGACION DE FUEGO ATENDIDO")</f>
        <v>INCENDIO POR PROPAGACION DE FUEGO ATENDIDO</v>
      </c>
      <c r="D12" s="46" t="str">
        <f ca="1">IFERROR(__xludf.DUMMYFUNCTION("""COMPUTED_VALUE"""),"DECENDENTE")</f>
        <v>DECENDENTE</v>
      </c>
      <c r="E12" s="46" t="str">
        <f ca="1">IFERROR(__xludf.DUMMYFUNCTION("""COMPUTED_VALUE"""),"BITACORA OPERATIVA")</f>
        <v>BITACORA OPERATIVA</v>
      </c>
      <c r="F12" s="47">
        <f ca="1">IFERROR(__xludf.DUMMYFUNCTION("""COMPUTED_VALUE"""),0)</f>
        <v>0</v>
      </c>
      <c r="G12" s="48">
        <f ca="1">IFERROR(__xludf.DUMMYFUNCTION("""COMPUTED_VALUE"""),0)</f>
        <v>0</v>
      </c>
      <c r="H12" s="48">
        <f ca="1">IFERROR(__xludf.DUMMYFUNCTION("""COMPUTED_VALUE"""),0)</f>
        <v>0</v>
      </c>
      <c r="I12" s="48">
        <f ca="1">IFERROR(__xludf.DUMMYFUNCTION("""COMPUTED_VALUE"""),0)</f>
        <v>0</v>
      </c>
      <c r="J12" s="48">
        <f ca="1">IFERROR(__xludf.DUMMYFUNCTION("""COMPUTED_VALUE"""),0)</f>
        <v>0</v>
      </c>
      <c r="K12" s="48">
        <f ca="1">IFERROR(__xludf.DUMMYFUNCTION("""COMPUTED_VALUE"""),0)</f>
        <v>0</v>
      </c>
      <c r="L12" s="48">
        <f ca="1">IFERROR(__xludf.DUMMYFUNCTION("""COMPUTED_VALUE"""),0)</f>
        <v>0</v>
      </c>
      <c r="M12" s="48">
        <f ca="1">IFERROR(__xludf.DUMMYFUNCTION("""COMPUTED_VALUE"""),0)</f>
        <v>0</v>
      </c>
      <c r="N12" s="48">
        <f ca="1">IFERROR(__xludf.DUMMYFUNCTION("""COMPUTED_VALUE"""),0)</f>
        <v>0</v>
      </c>
      <c r="O12" s="48">
        <f ca="1">IFERROR(__xludf.DUMMYFUNCTION("""COMPUTED_VALUE"""),0)</f>
        <v>0</v>
      </c>
      <c r="P12" s="48">
        <f ca="1">IFERROR(__xludf.DUMMYFUNCTION("""COMPUTED_VALUE"""),0)</f>
        <v>0</v>
      </c>
      <c r="Q12" s="48">
        <f ca="1">IFERROR(__xludf.DUMMYFUNCTION("""COMPUTED_VALUE"""),0)</f>
        <v>0</v>
      </c>
      <c r="R12" s="48">
        <f ca="1">IFERROR(__xludf.DUMMYFUNCTION("""COMPUTED_VALUE"""),0)</f>
        <v>0</v>
      </c>
      <c r="S12" s="48">
        <f ca="1">IFERROR(__xludf.DUMMYFUNCTION("""COMPUTED_VALUE"""),0)</f>
        <v>0</v>
      </c>
    </row>
    <row r="13" spans="1:19">
      <c r="A13" s="46" t="str">
        <f ca="1">IFERROR(__xludf.DUMMYFUNCTION("""COMPUTED_VALUE"""),"FUEGO POR MALA INSTALACION ELECTRICA")</f>
        <v>FUEGO POR MALA INSTALACION ELECTRICA</v>
      </c>
      <c r="B13" s="46">
        <f ca="1">IFERROR(__xludf.DUMMYFUNCTION("""COMPUTED_VALUE"""),8)</f>
        <v>8</v>
      </c>
      <c r="C13" s="46" t="str">
        <f ca="1">IFERROR(__xludf.DUMMYFUNCTION("""COMPUTED_VALUE"""),"INCENDIO POR MALA INSTALACION ELECTRICA ATENDIDA")</f>
        <v>INCENDIO POR MALA INSTALACION ELECTRICA ATENDIDA</v>
      </c>
      <c r="D13" s="46" t="str">
        <f ca="1">IFERROR(__xludf.DUMMYFUNCTION("""COMPUTED_VALUE"""),"DECENDENTE")</f>
        <v>DECENDENTE</v>
      </c>
      <c r="E13" s="46" t="str">
        <f ca="1">IFERROR(__xludf.DUMMYFUNCTION("""COMPUTED_VALUE"""),"BITACORA OPERATIVA")</f>
        <v>BITACORA OPERATIVA</v>
      </c>
      <c r="F13" s="47">
        <f ca="1">IFERROR(__xludf.DUMMYFUNCTION("""COMPUTED_VALUE"""),0)</f>
        <v>0</v>
      </c>
      <c r="G13" s="48">
        <f ca="1">IFERROR(__xludf.DUMMYFUNCTION("""COMPUTED_VALUE"""),0)</f>
        <v>0</v>
      </c>
      <c r="H13" s="48">
        <f ca="1">IFERROR(__xludf.DUMMYFUNCTION("""COMPUTED_VALUE"""),0)</f>
        <v>0</v>
      </c>
      <c r="I13" s="48">
        <f ca="1">IFERROR(__xludf.DUMMYFUNCTION("""COMPUTED_VALUE"""),0)</f>
        <v>0</v>
      </c>
      <c r="J13" s="48">
        <f ca="1">IFERROR(__xludf.DUMMYFUNCTION("""COMPUTED_VALUE"""),0)</f>
        <v>0</v>
      </c>
      <c r="K13" s="48">
        <f ca="1">IFERROR(__xludf.DUMMYFUNCTION("""COMPUTED_VALUE"""),0)</f>
        <v>0</v>
      </c>
      <c r="L13" s="48">
        <f ca="1">IFERROR(__xludf.DUMMYFUNCTION("""COMPUTED_VALUE"""),0)</f>
        <v>0</v>
      </c>
      <c r="M13" s="48">
        <f ca="1">IFERROR(__xludf.DUMMYFUNCTION("""COMPUTED_VALUE"""),0)</f>
        <v>0</v>
      </c>
      <c r="N13" s="48">
        <f ca="1">IFERROR(__xludf.DUMMYFUNCTION("""COMPUTED_VALUE"""),0)</f>
        <v>0</v>
      </c>
      <c r="O13" s="48">
        <f ca="1">IFERROR(__xludf.DUMMYFUNCTION("""COMPUTED_VALUE"""),0)</f>
        <v>0</v>
      </c>
      <c r="P13" s="48">
        <f ca="1">IFERROR(__xludf.DUMMYFUNCTION("""COMPUTED_VALUE"""),0)</f>
        <v>0</v>
      </c>
      <c r="Q13" s="48">
        <f ca="1">IFERROR(__xludf.DUMMYFUNCTION("""COMPUTED_VALUE"""),0)</f>
        <v>0</v>
      </c>
      <c r="R13" s="48">
        <f ca="1">IFERROR(__xludf.DUMMYFUNCTION("""COMPUTED_VALUE"""),0)</f>
        <v>0</v>
      </c>
      <c r="S13" s="48">
        <f ca="1">IFERROR(__xludf.DUMMYFUNCTION("""COMPUTED_VALUE"""),0)</f>
        <v>0</v>
      </c>
    </row>
    <row r="14" spans="1:19">
      <c r="A14" s="46" t="str">
        <f ca="1">IFERROR(__xludf.DUMMYFUNCTION("""COMPUTED_VALUE"""),"FALTA DE MANTENIMIENTO")</f>
        <v>FALTA DE MANTENIMIENTO</v>
      </c>
      <c r="B14" s="46">
        <f ca="1">IFERROR(__xludf.DUMMYFUNCTION("""COMPUTED_VALUE"""),120)</f>
        <v>120</v>
      </c>
      <c r="C14" s="46" t="str">
        <f ca="1">IFERROR(__xludf.DUMMYFUNCTION("""COMPUTED_VALUE"""),"INCENDIO POR FALTA DE MANTENIMIENTO ATENDIDO")</f>
        <v>INCENDIO POR FALTA DE MANTENIMIENTO ATENDIDO</v>
      </c>
      <c r="D14" s="46" t="str">
        <f ca="1">IFERROR(__xludf.DUMMYFUNCTION("""COMPUTED_VALUE"""),"DECENDENTE")</f>
        <v>DECENDENTE</v>
      </c>
      <c r="E14" s="46" t="str">
        <f ca="1">IFERROR(__xludf.DUMMYFUNCTION("""COMPUTED_VALUE"""),"BITACORA OPERATIVA")</f>
        <v>BITACORA OPERATIVA</v>
      </c>
      <c r="F14" s="47">
        <f ca="1">IFERROR(__xludf.DUMMYFUNCTION("""COMPUTED_VALUE"""),0)</f>
        <v>0</v>
      </c>
      <c r="G14" s="48">
        <f ca="1">IFERROR(__xludf.DUMMYFUNCTION("""COMPUTED_VALUE"""),0)</f>
        <v>0</v>
      </c>
      <c r="H14" s="48">
        <f ca="1">IFERROR(__xludf.DUMMYFUNCTION("""COMPUTED_VALUE"""),0)</f>
        <v>0</v>
      </c>
      <c r="I14" s="48">
        <f ca="1">IFERROR(__xludf.DUMMYFUNCTION("""COMPUTED_VALUE"""),0)</f>
        <v>0</v>
      </c>
      <c r="J14" s="48">
        <f ca="1">IFERROR(__xludf.DUMMYFUNCTION("""COMPUTED_VALUE"""),0)</f>
        <v>0</v>
      </c>
      <c r="K14" s="48">
        <f ca="1">IFERROR(__xludf.DUMMYFUNCTION("""COMPUTED_VALUE"""),0)</f>
        <v>0</v>
      </c>
      <c r="L14" s="48">
        <f ca="1">IFERROR(__xludf.DUMMYFUNCTION("""COMPUTED_VALUE"""),0)</f>
        <v>0</v>
      </c>
      <c r="M14" s="48">
        <f ca="1">IFERROR(__xludf.DUMMYFUNCTION("""COMPUTED_VALUE"""),0)</f>
        <v>0</v>
      </c>
      <c r="N14" s="48">
        <f ca="1">IFERROR(__xludf.DUMMYFUNCTION("""COMPUTED_VALUE"""),0)</f>
        <v>0</v>
      </c>
      <c r="O14" s="48">
        <f ca="1">IFERROR(__xludf.DUMMYFUNCTION("""COMPUTED_VALUE"""),0)</f>
        <v>0</v>
      </c>
      <c r="P14" s="48">
        <f ca="1">IFERROR(__xludf.DUMMYFUNCTION("""COMPUTED_VALUE"""),0)</f>
        <v>0</v>
      </c>
      <c r="Q14" s="48">
        <f ca="1">IFERROR(__xludf.DUMMYFUNCTION("""COMPUTED_VALUE"""),0)</f>
        <v>0</v>
      </c>
      <c r="R14" s="48">
        <f ca="1">IFERROR(__xludf.DUMMYFUNCTION("""COMPUTED_VALUE"""),0)</f>
        <v>0</v>
      </c>
      <c r="S14" s="48">
        <f ca="1">IFERROR(__xludf.DUMMYFUNCTION("""COMPUTED_VALUE"""),0)</f>
        <v>0</v>
      </c>
    </row>
    <row r="15" spans="1:19">
      <c r="A15" s="46" t="str">
        <f ca="1">IFERROR(__xludf.DUMMYFUNCTION("""COMPUTED_VALUE"""),"REIGNICION")</f>
        <v>REIGNICION</v>
      </c>
      <c r="B15" s="46">
        <f ca="1">IFERROR(__xludf.DUMMYFUNCTION("""COMPUTED_VALUE"""),15)</f>
        <v>15</v>
      </c>
      <c r="C15" s="46" t="str">
        <f ca="1">IFERROR(__xludf.DUMMYFUNCTION("""COMPUTED_VALUE"""),"INCENDIO POR REIGNICION ATENDIDO")</f>
        <v>INCENDIO POR REIGNICION ATENDIDO</v>
      </c>
      <c r="D15" s="46" t="str">
        <f ca="1">IFERROR(__xludf.DUMMYFUNCTION("""COMPUTED_VALUE"""),"DECENDENTE")</f>
        <v>DECENDENTE</v>
      </c>
      <c r="E15" s="46" t="str">
        <f ca="1">IFERROR(__xludf.DUMMYFUNCTION("""COMPUTED_VALUE"""),"BITACORA OPERATIVA")</f>
        <v>BITACORA OPERATIVA</v>
      </c>
      <c r="F15" s="47">
        <f ca="1">IFERROR(__xludf.DUMMYFUNCTION("""COMPUTED_VALUE"""),0)</f>
        <v>0</v>
      </c>
      <c r="G15" s="48">
        <f ca="1">IFERROR(__xludf.DUMMYFUNCTION("""COMPUTED_VALUE"""),0)</f>
        <v>0</v>
      </c>
      <c r="H15" s="48">
        <f ca="1">IFERROR(__xludf.DUMMYFUNCTION("""COMPUTED_VALUE"""),0)</f>
        <v>0</v>
      </c>
      <c r="I15" s="48">
        <f ca="1">IFERROR(__xludf.DUMMYFUNCTION("""COMPUTED_VALUE"""),0)</f>
        <v>0</v>
      </c>
      <c r="J15" s="48">
        <f ca="1">IFERROR(__xludf.DUMMYFUNCTION("""COMPUTED_VALUE"""),0)</f>
        <v>0</v>
      </c>
      <c r="K15" s="48">
        <f ca="1">IFERROR(__xludf.DUMMYFUNCTION("""COMPUTED_VALUE"""),0)</f>
        <v>0</v>
      </c>
      <c r="L15" s="48">
        <f ca="1">IFERROR(__xludf.DUMMYFUNCTION("""COMPUTED_VALUE"""),0)</f>
        <v>0</v>
      </c>
      <c r="M15" s="48">
        <f ca="1">IFERROR(__xludf.DUMMYFUNCTION("""COMPUTED_VALUE"""),0)</f>
        <v>0</v>
      </c>
      <c r="N15" s="48">
        <f ca="1">IFERROR(__xludf.DUMMYFUNCTION("""COMPUTED_VALUE"""),0)</f>
        <v>0</v>
      </c>
      <c r="O15" s="48">
        <f ca="1">IFERROR(__xludf.DUMMYFUNCTION("""COMPUTED_VALUE"""),0)</f>
        <v>0</v>
      </c>
      <c r="P15" s="48">
        <f ca="1">IFERROR(__xludf.DUMMYFUNCTION("""COMPUTED_VALUE"""),0)</f>
        <v>0</v>
      </c>
      <c r="Q15" s="48">
        <f ca="1">IFERROR(__xludf.DUMMYFUNCTION("""COMPUTED_VALUE"""),0)</f>
        <v>0</v>
      </c>
      <c r="R15" s="48">
        <f ca="1">IFERROR(__xludf.DUMMYFUNCTION("""COMPUTED_VALUE"""),0)</f>
        <v>0</v>
      </c>
      <c r="S15" s="48">
        <f ca="1">IFERROR(__xludf.DUMMYFUNCTION("""COMPUTED_VALUE"""),0)</f>
        <v>0</v>
      </c>
    </row>
    <row r="16" spans="1:19">
      <c r="A16" s="46" t="str">
        <f ca="1">IFERROR(__xludf.DUMMYFUNCTION("""COMPUTED_VALUE"""),"SOBRE CALENTAMIENTO DE MOTOR")</f>
        <v>SOBRE CALENTAMIENTO DE MOTOR</v>
      </c>
      <c r="B16" s="46">
        <f ca="1">IFERROR(__xludf.DUMMYFUNCTION("""COMPUTED_VALUE"""),7)</f>
        <v>7</v>
      </c>
      <c r="C16" s="46" t="str">
        <f ca="1">IFERROR(__xludf.DUMMYFUNCTION("""COMPUTED_VALUE"""),"INCENDIO POR SOBRECALENTAMIENTO DE MOTOR ATENDIDO")</f>
        <v>INCENDIO POR SOBRECALENTAMIENTO DE MOTOR ATENDIDO</v>
      </c>
      <c r="D16" s="46" t="str">
        <f ca="1">IFERROR(__xludf.DUMMYFUNCTION("""COMPUTED_VALUE"""),"DECENDENTE")</f>
        <v>DECENDENTE</v>
      </c>
      <c r="E16" s="46" t="str">
        <f ca="1">IFERROR(__xludf.DUMMYFUNCTION("""COMPUTED_VALUE"""),"BITACORA OPERATIVA")</f>
        <v>BITACORA OPERATIVA</v>
      </c>
      <c r="F16" s="47">
        <f ca="1">IFERROR(__xludf.DUMMYFUNCTION("""COMPUTED_VALUE"""),0)</f>
        <v>0</v>
      </c>
      <c r="G16" s="48">
        <f ca="1">IFERROR(__xludf.DUMMYFUNCTION("""COMPUTED_VALUE"""),0)</f>
        <v>0</v>
      </c>
      <c r="H16" s="48">
        <f ca="1">IFERROR(__xludf.DUMMYFUNCTION("""COMPUTED_VALUE"""),0)</f>
        <v>0</v>
      </c>
      <c r="I16" s="48">
        <f ca="1">IFERROR(__xludf.DUMMYFUNCTION("""COMPUTED_VALUE"""),0)</f>
        <v>0</v>
      </c>
      <c r="J16" s="48">
        <f ca="1">IFERROR(__xludf.DUMMYFUNCTION("""COMPUTED_VALUE"""),0)</f>
        <v>0</v>
      </c>
      <c r="K16" s="48">
        <f ca="1">IFERROR(__xludf.DUMMYFUNCTION("""COMPUTED_VALUE"""),0)</f>
        <v>0</v>
      </c>
      <c r="L16" s="48">
        <f ca="1">IFERROR(__xludf.DUMMYFUNCTION("""COMPUTED_VALUE"""),0)</f>
        <v>0</v>
      </c>
      <c r="M16" s="48">
        <f ca="1">IFERROR(__xludf.DUMMYFUNCTION("""COMPUTED_VALUE"""),0)</f>
        <v>0</v>
      </c>
      <c r="N16" s="48">
        <f ca="1">IFERROR(__xludf.DUMMYFUNCTION("""COMPUTED_VALUE"""),0)</f>
        <v>0</v>
      </c>
      <c r="O16" s="48">
        <f ca="1">IFERROR(__xludf.DUMMYFUNCTION("""COMPUTED_VALUE"""),0)</f>
        <v>0</v>
      </c>
      <c r="P16" s="48">
        <f ca="1">IFERROR(__xludf.DUMMYFUNCTION("""COMPUTED_VALUE"""),0)</f>
        <v>0</v>
      </c>
      <c r="Q16" s="48">
        <f ca="1">IFERROR(__xludf.DUMMYFUNCTION("""COMPUTED_VALUE"""),0)</f>
        <v>0</v>
      </c>
      <c r="R16" s="48">
        <f ca="1">IFERROR(__xludf.DUMMYFUNCTION("""COMPUTED_VALUE"""),0)</f>
        <v>0</v>
      </c>
      <c r="S16" s="48">
        <f ca="1">IFERROR(__xludf.DUMMYFUNCTION("""COMPUTED_VALUE"""),0)</f>
        <v>0</v>
      </c>
    </row>
    <row r="17" spans="1:19">
      <c r="A17" s="46" t="str">
        <f ca="1">IFERROR(__xludf.DUMMYFUNCTION("""COMPUTED_VALUE"""),"FALSA EXPLOSION")</f>
        <v>FALSA EXPLOSION</v>
      </c>
      <c r="B17" s="46">
        <f ca="1">IFERROR(__xludf.DUMMYFUNCTION("""COMPUTED_VALUE"""),5)</f>
        <v>5</v>
      </c>
      <c r="C17" s="46" t="str">
        <f ca="1">IFERROR(__xludf.DUMMYFUNCTION("""COMPUTED_VALUE"""),"INCENDIO POR FALSA EXPLOSION ATENDIDA")</f>
        <v>INCENDIO POR FALSA EXPLOSION ATENDIDA</v>
      </c>
      <c r="D17" s="46" t="str">
        <f ca="1">IFERROR(__xludf.DUMMYFUNCTION("""COMPUTED_VALUE"""),"DECENDENTE")</f>
        <v>DECENDENTE</v>
      </c>
      <c r="E17" s="46" t="str">
        <f ca="1">IFERROR(__xludf.DUMMYFUNCTION("""COMPUTED_VALUE"""),"BITACORA OPERATIVA")</f>
        <v>BITACORA OPERATIVA</v>
      </c>
      <c r="F17" s="47">
        <f ca="1">IFERROR(__xludf.DUMMYFUNCTION("""COMPUTED_VALUE"""),0)</f>
        <v>0</v>
      </c>
      <c r="G17" s="48">
        <f ca="1">IFERROR(__xludf.DUMMYFUNCTION("""COMPUTED_VALUE"""),0)</f>
        <v>0</v>
      </c>
      <c r="H17" s="48">
        <f ca="1">IFERROR(__xludf.DUMMYFUNCTION("""COMPUTED_VALUE"""),0)</f>
        <v>0</v>
      </c>
      <c r="I17" s="48">
        <f ca="1">IFERROR(__xludf.DUMMYFUNCTION("""COMPUTED_VALUE"""),0)</f>
        <v>0</v>
      </c>
      <c r="J17" s="48">
        <f ca="1">IFERROR(__xludf.DUMMYFUNCTION("""COMPUTED_VALUE"""),0)</f>
        <v>0</v>
      </c>
      <c r="K17" s="48">
        <f ca="1">IFERROR(__xludf.DUMMYFUNCTION("""COMPUTED_VALUE"""),0)</f>
        <v>0</v>
      </c>
      <c r="L17" s="48">
        <f ca="1">IFERROR(__xludf.DUMMYFUNCTION("""COMPUTED_VALUE"""),0)</f>
        <v>0</v>
      </c>
      <c r="M17" s="48">
        <f ca="1">IFERROR(__xludf.DUMMYFUNCTION("""COMPUTED_VALUE"""),0)</f>
        <v>0</v>
      </c>
      <c r="N17" s="48">
        <f ca="1">IFERROR(__xludf.DUMMYFUNCTION("""COMPUTED_VALUE"""),0)</f>
        <v>0</v>
      </c>
      <c r="O17" s="48">
        <f ca="1">IFERROR(__xludf.DUMMYFUNCTION("""COMPUTED_VALUE"""),0)</f>
        <v>0</v>
      </c>
      <c r="P17" s="48">
        <f ca="1">IFERROR(__xludf.DUMMYFUNCTION("""COMPUTED_VALUE"""),0)</f>
        <v>0</v>
      </c>
      <c r="Q17" s="48">
        <f ca="1">IFERROR(__xludf.DUMMYFUNCTION("""COMPUTED_VALUE"""),0)</f>
        <v>0</v>
      </c>
      <c r="R17" s="48">
        <f ca="1">IFERROR(__xludf.DUMMYFUNCTION("""COMPUTED_VALUE"""),0)</f>
        <v>0</v>
      </c>
      <c r="S17" s="48">
        <f ca="1">IFERROR(__xludf.DUMMYFUNCTION("""COMPUTED_VALUE"""),0)</f>
        <v>0</v>
      </c>
    </row>
    <row r="18" spans="1:19">
      <c r="A18" s="46" t="str">
        <f ca="1">IFERROR(__xludf.DUMMYFUNCTION("""COMPUTED_VALUE"""),"CHOQUE DE VEHICULO")</f>
        <v>CHOQUE DE VEHICULO</v>
      </c>
      <c r="B18" s="46">
        <f ca="1">IFERROR(__xludf.DUMMYFUNCTION("""COMPUTED_VALUE"""),2)</f>
        <v>2</v>
      </c>
      <c r="C18" s="46" t="str">
        <f ca="1">IFERROR(__xludf.DUMMYFUNCTION("""COMPUTED_VALUE""")," CHOQUE DE VEHICULO ATENDIDO")</f>
        <v xml:space="preserve"> CHOQUE DE VEHICULO ATENDIDO</v>
      </c>
      <c r="D18" s="46" t="str">
        <f ca="1">IFERROR(__xludf.DUMMYFUNCTION("""COMPUTED_VALUE"""),"DECENDENTE")</f>
        <v>DECENDENTE</v>
      </c>
      <c r="E18" s="46" t="str">
        <f ca="1">IFERROR(__xludf.DUMMYFUNCTION("""COMPUTED_VALUE"""),"BITACORA OPERATIVA")</f>
        <v>BITACORA OPERATIVA</v>
      </c>
      <c r="F18" s="47">
        <f ca="1">IFERROR(__xludf.DUMMYFUNCTION("""COMPUTED_VALUE"""),0)</f>
        <v>0</v>
      </c>
      <c r="G18" s="48">
        <f ca="1">IFERROR(__xludf.DUMMYFUNCTION("""COMPUTED_VALUE"""),0)</f>
        <v>0</v>
      </c>
      <c r="H18" s="48">
        <f ca="1">IFERROR(__xludf.DUMMYFUNCTION("""COMPUTED_VALUE"""),0)</f>
        <v>0</v>
      </c>
      <c r="I18" s="48">
        <f ca="1">IFERROR(__xludf.DUMMYFUNCTION("""COMPUTED_VALUE"""),0)</f>
        <v>0</v>
      </c>
      <c r="J18" s="48">
        <f ca="1">IFERROR(__xludf.DUMMYFUNCTION("""COMPUTED_VALUE"""),0)</f>
        <v>0</v>
      </c>
      <c r="K18" s="48">
        <f ca="1">IFERROR(__xludf.DUMMYFUNCTION("""COMPUTED_VALUE"""),0)</f>
        <v>0</v>
      </c>
      <c r="L18" s="48">
        <f ca="1">IFERROR(__xludf.DUMMYFUNCTION("""COMPUTED_VALUE"""),0)</f>
        <v>0</v>
      </c>
      <c r="M18" s="48">
        <f ca="1">IFERROR(__xludf.DUMMYFUNCTION("""COMPUTED_VALUE"""),0)</f>
        <v>0</v>
      </c>
      <c r="N18" s="48">
        <f ca="1">IFERROR(__xludf.DUMMYFUNCTION("""COMPUTED_VALUE"""),0)</f>
        <v>0</v>
      </c>
      <c r="O18" s="48">
        <f ca="1">IFERROR(__xludf.DUMMYFUNCTION("""COMPUTED_VALUE"""),0)</f>
        <v>0</v>
      </c>
      <c r="P18" s="48">
        <f ca="1">IFERROR(__xludf.DUMMYFUNCTION("""COMPUTED_VALUE"""),0)</f>
        <v>0</v>
      </c>
      <c r="Q18" s="48">
        <f ca="1">IFERROR(__xludf.DUMMYFUNCTION("""COMPUTED_VALUE"""),0)</f>
        <v>0</v>
      </c>
      <c r="R18" s="48">
        <f ca="1">IFERROR(__xludf.DUMMYFUNCTION("""COMPUTED_VALUE"""),0)</f>
        <v>0</v>
      </c>
      <c r="S18" s="48">
        <f ca="1">IFERROR(__xludf.DUMMYFUNCTION("""COMPUTED_VALUE"""),0)</f>
        <v>0</v>
      </c>
    </row>
    <row r="19" spans="1:19">
      <c r="A19" s="46" t="str">
        <f ca="1">IFERROR(__xludf.DUMMYFUNCTION("""COMPUTED_VALUE"""),"VOLCAMIENTO VEHICULAR")</f>
        <v>VOLCAMIENTO VEHICULAR</v>
      </c>
      <c r="B19" s="46">
        <f ca="1">IFERROR(__xludf.DUMMYFUNCTION("""COMPUTED_VALUE"""),10)</f>
        <v>10</v>
      </c>
      <c r="C19" s="46" t="str">
        <f ca="1">IFERROR(__xludf.DUMMYFUNCTION("""COMPUTED_VALUE"""),"VOLCAMIENTO ATENDIDO")</f>
        <v>VOLCAMIENTO ATENDIDO</v>
      </c>
      <c r="D19" s="46" t="str">
        <f ca="1">IFERROR(__xludf.DUMMYFUNCTION("""COMPUTED_VALUE"""),"DECENDENTE")</f>
        <v>DECENDENTE</v>
      </c>
      <c r="E19" s="46" t="str">
        <f ca="1">IFERROR(__xludf.DUMMYFUNCTION("""COMPUTED_VALUE"""),"BITACORA OPERATIVA")</f>
        <v>BITACORA OPERATIVA</v>
      </c>
      <c r="F19" s="47">
        <f ca="1">IFERROR(__xludf.DUMMYFUNCTION("""COMPUTED_VALUE"""),0)</f>
        <v>0</v>
      </c>
      <c r="G19" s="48">
        <f ca="1">IFERROR(__xludf.DUMMYFUNCTION("""COMPUTED_VALUE"""),0)</f>
        <v>0</v>
      </c>
      <c r="H19" s="48">
        <f ca="1">IFERROR(__xludf.DUMMYFUNCTION("""COMPUTED_VALUE"""),0)</f>
        <v>0</v>
      </c>
      <c r="I19" s="48">
        <f ca="1">IFERROR(__xludf.DUMMYFUNCTION("""COMPUTED_VALUE"""),0)</f>
        <v>0</v>
      </c>
      <c r="J19" s="48">
        <f ca="1">IFERROR(__xludf.DUMMYFUNCTION("""COMPUTED_VALUE"""),0)</f>
        <v>0</v>
      </c>
      <c r="K19" s="48">
        <f ca="1">IFERROR(__xludf.DUMMYFUNCTION("""COMPUTED_VALUE"""),0)</f>
        <v>0</v>
      </c>
      <c r="L19" s="48">
        <f ca="1">IFERROR(__xludf.DUMMYFUNCTION("""COMPUTED_VALUE"""),0)</f>
        <v>0</v>
      </c>
      <c r="M19" s="48">
        <f ca="1">IFERROR(__xludf.DUMMYFUNCTION("""COMPUTED_VALUE"""),0)</f>
        <v>0</v>
      </c>
      <c r="N19" s="48">
        <f ca="1">IFERROR(__xludf.DUMMYFUNCTION("""COMPUTED_VALUE"""),0)</f>
        <v>0</v>
      </c>
      <c r="O19" s="48">
        <f ca="1">IFERROR(__xludf.DUMMYFUNCTION("""COMPUTED_VALUE"""),0)</f>
        <v>0</v>
      </c>
      <c r="P19" s="48">
        <f ca="1">IFERROR(__xludf.DUMMYFUNCTION("""COMPUTED_VALUE"""),0)</f>
        <v>0</v>
      </c>
      <c r="Q19" s="48">
        <f ca="1">IFERROR(__xludf.DUMMYFUNCTION("""COMPUTED_VALUE"""),0)</f>
        <v>0</v>
      </c>
      <c r="R19" s="48">
        <f ca="1">IFERROR(__xludf.DUMMYFUNCTION("""COMPUTED_VALUE"""),0)</f>
        <v>0</v>
      </c>
      <c r="S19" s="48">
        <f ca="1">IFERROR(__xludf.DUMMYFUNCTION("""COMPUTED_VALUE"""),0)</f>
        <v>0</v>
      </c>
    </row>
    <row r="20" spans="1:19">
      <c r="A20" s="46" t="str">
        <f ca="1">IFERROR(__xludf.DUMMYFUNCTION("""COMPUTED_VALUE"""),"ACCIDENTES DE TRANSITO")</f>
        <v>ACCIDENTES DE TRANSITO</v>
      </c>
      <c r="B20" s="46">
        <f ca="1">IFERROR(__xludf.DUMMYFUNCTION("""COMPUTED_VALUE"""),4)</f>
        <v>4</v>
      </c>
      <c r="C20" s="46" t="str">
        <f ca="1">IFERROR(__xludf.DUMMYFUNCTION("""COMPUTED_VALUE"""),"ACCIDENTE DE TRANSITO ATENDIDO")</f>
        <v>ACCIDENTE DE TRANSITO ATENDIDO</v>
      </c>
      <c r="D20" s="46" t="str">
        <f ca="1">IFERROR(__xludf.DUMMYFUNCTION("""COMPUTED_VALUE"""),"DECENDENTE")</f>
        <v>DECENDENTE</v>
      </c>
      <c r="E20" s="46" t="str">
        <f ca="1">IFERROR(__xludf.DUMMYFUNCTION("""COMPUTED_VALUE"""),"BITACORA OPERATIVA")</f>
        <v>BITACORA OPERATIVA</v>
      </c>
      <c r="F20" s="47">
        <f ca="1">IFERROR(__xludf.DUMMYFUNCTION("""COMPUTED_VALUE"""),0)</f>
        <v>0</v>
      </c>
      <c r="G20" s="48">
        <f ca="1">IFERROR(__xludf.DUMMYFUNCTION("""COMPUTED_VALUE"""),0)</f>
        <v>0</v>
      </c>
      <c r="H20" s="48">
        <f ca="1">IFERROR(__xludf.DUMMYFUNCTION("""COMPUTED_VALUE"""),0)</f>
        <v>0</v>
      </c>
      <c r="I20" s="48">
        <f ca="1">IFERROR(__xludf.DUMMYFUNCTION("""COMPUTED_VALUE"""),0)</f>
        <v>0</v>
      </c>
      <c r="J20" s="48">
        <f ca="1">IFERROR(__xludf.DUMMYFUNCTION("""COMPUTED_VALUE"""),0)</f>
        <v>0</v>
      </c>
      <c r="K20" s="48">
        <f ca="1">IFERROR(__xludf.DUMMYFUNCTION("""COMPUTED_VALUE"""),0)</f>
        <v>0</v>
      </c>
      <c r="L20" s="48">
        <f ca="1">IFERROR(__xludf.DUMMYFUNCTION("""COMPUTED_VALUE"""),0)</f>
        <v>0</v>
      </c>
      <c r="M20" s="48">
        <f ca="1">IFERROR(__xludf.DUMMYFUNCTION("""COMPUTED_VALUE"""),0)</f>
        <v>0</v>
      </c>
      <c r="N20" s="48">
        <f ca="1">IFERROR(__xludf.DUMMYFUNCTION("""COMPUTED_VALUE"""),0)</f>
        <v>0</v>
      </c>
      <c r="O20" s="48">
        <f ca="1">IFERROR(__xludf.DUMMYFUNCTION("""COMPUTED_VALUE"""),0)</f>
        <v>0</v>
      </c>
      <c r="P20" s="48">
        <f ca="1">IFERROR(__xludf.DUMMYFUNCTION("""COMPUTED_VALUE"""),0)</f>
        <v>0</v>
      </c>
      <c r="Q20" s="48">
        <f ca="1">IFERROR(__xludf.DUMMYFUNCTION("""COMPUTED_VALUE"""),0)</f>
        <v>0</v>
      </c>
      <c r="R20" s="48">
        <f ca="1">IFERROR(__xludf.DUMMYFUNCTION("""COMPUTED_VALUE"""),0)</f>
        <v>0</v>
      </c>
      <c r="S20" s="48">
        <f ca="1">IFERROR(__xludf.DUMMYFUNCTION("""COMPUTED_VALUE"""),0)</f>
        <v>0</v>
      </c>
    </row>
    <row r="21" spans="1:19">
      <c r="A21" s="46" t="str">
        <f ca="1">IFERROR(__xludf.DUMMYFUNCTION("""COMPUTED_VALUE"""),"RESTO DE LAS CAUSAS")</f>
        <v>RESTO DE LAS CAUSAS</v>
      </c>
      <c r="B21" s="46">
        <f ca="1">IFERROR(__xludf.DUMMYFUNCTION("""COMPUTED_VALUE"""),75)</f>
        <v>75</v>
      </c>
      <c r="C21" s="46" t="str">
        <f ca="1">IFERROR(__xludf.DUMMYFUNCTION("""COMPUTED_VALUE"""),"RESTO DE CAUSAS ATENDIDAS")</f>
        <v>RESTO DE CAUSAS ATENDIDAS</v>
      </c>
      <c r="D21" s="46" t="str">
        <f ca="1">IFERROR(__xludf.DUMMYFUNCTION("""COMPUTED_VALUE"""),"DECENDENTE")</f>
        <v>DECENDENTE</v>
      </c>
      <c r="E21" s="46" t="str">
        <f ca="1">IFERROR(__xludf.DUMMYFUNCTION("""COMPUTED_VALUE"""),"BITACORA OPERATIVA")</f>
        <v>BITACORA OPERATIVA</v>
      </c>
      <c r="F21" s="47">
        <f ca="1">IFERROR(__xludf.DUMMYFUNCTION("""COMPUTED_VALUE"""),0)</f>
        <v>0</v>
      </c>
      <c r="G21" s="48">
        <f ca="1">IFERROR(__xludf.DUMMYFUNCTION("""COMPUTED_VALUE"""),0)</f>
        <v>0</v>
      </c>
      <c r="H21" s="48">
        <f ca="1">IFERROR(__xludf.DUMMYFUNCTION("""COMPUTED_VALUE"""),0)</f>
        <v>0</v>
      </c>
      <c r="I21" s="48">
        <f ca="1">IFERROR(__xludf.DUMMYFUNCTION("""COMPUTED_VALUE"""),0)</f>
        <v>0</v>
      </c>
      <c r="J21" s="48">
        <f ca="1">IFERROR(__xludf.DUMMYFUNCTION("""COMPUTED_VALUE"""),0)</f>
        <v>0</v>
      </c>
      <c r="K21" s="48">
        <f ca="1">IFERROR(__xludf.DUMMYFUNCTION("""COMPUTED_VALUE"""),0)</f>
        <v>0</v>
      </c>
      <c r="L21" s="48">
        <f ca="1">IFERROR(__xludf.DUMMYFUNCTION("""COMPUTED_VALUE"""),0)</f>
        <v>0</v>
      </c>
      <c r="M21" s="48">
        <f ca="1">IFERROR(__xludf.DUMMYFUNCTION("""COMPUTED_VALUE"""),0)</f>
        <v>0</v>
      </c>
      <c r="N21" s="48">
        <f ca="1">IFERROR(__xludf.DUMMYFUNCTION("""COMPUTED_VALUE"""),0)</f>
        <v>0</v>
      </c>
      <c r="O21" s="48">
        <f ca="1">IFERROR(__xludf.DUMMYFUNCTION("""COMPUTED_VALUE"""),0)</f>
        <v>0</v>
      </c>
      <c r="P21" s="48">
        <f ca="1">IFERROR(__xludf.DUMMYFUNCTION("""COMPUTED_VALUE"""),0)</f>
        <v>0</v>
      </c>
      <c r="Q21" s="48">
        <f ca="1">IFERROR(__xludf.DUMMYFUNCTION("""COMPUTED_VALUE"""),0)</f>
        <v>0</v>
      </c>
      <c r="R21" s="48">
        <f ca="1">IFERROR(__xludf.DUMMYFUNCTION("""COMPUTED_VALUE"""),0)</f>
        <v>0</v>
      </c>
      <c r="S21" s="48">
        <f ca="1">IFERROR(__xludf.DUMMYFUNCTION("""COMPUTED_VALUE"""),0)</f>
        <v>0</v>
      </c>
    </row>
    <row r="22" spans="1:19">
      <c r="A22" s="46" t="str">
        <f ca="1">IFERROR(__xludf.DUMMYFUNCTION("""COMPUTED_VALUE"""),"POR ACCIDENTE DE TRANSITO")</f>
        <v>POR ACCIDENTE DE TRANSITO</v>
      </c>
      <c r="B22" s="46">
        <f ca="1">IFERROR(__xludf.DUMMYFUNCTION("""COMPUTED_VALUE"""),50)</f>
        <v>50</v>
      </c>
      <c r="C22" s="46" t="str">
        <f ca="1">IFERROR(__xludf.DUMMYFUNCTION("""COMPUTED_VALUE"""),"ACCIDENTE DE TRANSITO ATENDIDO")</f>
        <v>ACCIDENTE DE TRANSITO ATENDIDO</v>
      </c>
      <c r="D22" s="46" t="str">
        <f ca="1">IFERROR(__xludf.DUMMYFUNCTION("""COMPUTED_VALUE"""),"DECENDENTE")</f>
        <v>DECENDENTE</v>
      </c>
      <c r="E22" s="46" t="str">
        <f ca="1">IFERROR(__xludf.DUMMYFUNCTION("""COMPUTED_VALUE"""),"BITACORA OPERATIVA")</f>
        <v>BITACORA OPERATIVA</v>
      </c>
      <c r="F22" s="47">
        <f ca="1">IFERROR(__xludf.DUMMYFUNCTION("""COMPUTED_VALUE"""),0)</f>
        <v>0</v>
      </c>
      <c r="G22" s="48">
        <f ca="1">IFERROR(__xludf.DUMMYFUNCTION("""COMPUTED_VALUE"""),0)</f>
        <v>0</v>
      </c>
      <c r="H22" s="48">
        <f ca="1">IFERROR(__xludf.DUMMYFUNCTION("""COMPUTED_VALUE"""),0)</f>
        <v>0</v>
      </c>
      <c r="I22" s="48">
        <f ca="1">IFERROR(__xludf.DUMMYFUNCTION("""COMPUTED_VALUE"""),0)</f>
        <v>0</v>
      </c>
      <c r="J22" s="48">
        <f ca="1">IFERROR(__xludf.DUMMYFUNCTION("""COMPUTED_VALUE"""),0)</f>
        <v>0</v>
      </c>
      <c r="K22" s="48">
        <f ca="1">IFERROR(__xludf.DUMMYFUNCTION("""COMPUTED_VALUE"""),0)</f>
        <v>0</v>
      </c>
      <c r="L22" s="48">
        <f ca="1">IFERROR(__xludf.DUMMYFUNCTION("""COMPUTED_VALUE"""),0)</f>
        <v>0</v>
      </c>
      <c r="M22" s="48">
        <f ca="1">IFERROR(__xludf.DUMMYFUNCTION("""COMPUTED_VALUE"""),0)</f>
        <v>0</v>
      </c>
      <c r="N22" s="48">
        <f ca="1">IFERROR(__xludf.DUMMYFUNCTION("""COMPUTED_VALUE"""),0)</f>
        <v>0</v>
      </c>
      <c r="O22" s="48">
        <f ca="1">IFERROR(__xludf.DUMMYFUNCTION("""COMPUTED_VALUE"""),0)</f>
        <v>0</v>
      </c>
      <c r="P22" s="48">
        <f ca="1">IFERROR(__xludf.DUMMYFUNCTION("""COMPUTED_VALUE"""),0)</f>
        <v>0</v>
      </c>
      <c r="Q22" s="48">
        <f ca="1">IFERROR(__xludf.DUMMYFUNCTION("""COMPUTED_VALUE"""),0)</f>
        <v>0</v>
      </c>
      <c r="R22" s="48">
        <f ca="1">IFERROR(__xludf.DUMMYFUNCTION("""COMPUTED_VALUE"""),0)</f>
        <v>0</v>
      </c>
      <c r="S22" s="48">
        <f ca="1">IFERROR(__xludf.DUMMYFUNCTION("""COMPUTED_VALUE"""),0)</f>
        <v>0</v>
      </c>
    </row>
    <row r="23" spans="1:19">
      <c r="A23" s="46" t="str">
        <f ca="1">IFERROR(__xludf.DUMMYFUNCTION("""COMPUTED_VALUE"""),"VOLCADURA")</f>
        <v>VOLCADURA</v>
      </c>
      <c r="B23" s="46">
        <f ca="1">IFERROR(__xludf.DUMMYFUNCTION("""COMPUTED_VALUE"""),55)</f>
        <v>55</v>
      </c>
      <c r="C23" s="46" t="str">
        <f ca="1">IFERROR(__xludf.DUMMYFUNCTION("""COMPUTED_VALUE"""),"VOLCADURA ATEDIDA")</f>
        <v>VOLCADURA ATEDIDA</v>
      </c>
      <c r="D23" s="46" t="str">
        <f ca="1">IFERROR(__xludf.DUMMYFUNCTION("""COMPUTED_VALUE"""),"DECENDENTE")</f>
        <v>DECENDENTE</v>
      </c>
      <c r="E23" s="46" t="str">
        <f ca="1">IFERROR(__xludf.DUMMYFUNCTION("""COMPUTED_VALUE"""),"BITACORA OPERATIVA")</f>
        <v>BITACORA OPERATIVA</v>
      </c>
      <c r="F23" s="47">
        <f ca="1">IFERROR(__xludf.DUMMYFUNCTION("""COMPUTED_VALUE"""),0)</f>
        <v>0</v>
      </c>
      <c r="G23" s="48">
        <f ca="1">IFERROR(__xludf.DUMMYFUNCTION("""COMPUTED_VALUE"""),0)</f>
        <v>0</v>
      </c>
      <c r="H23" s="48">
        <f ca="1">IFERROR(__xludf.DUMMYFUNCTION("""COMPUTED_VALUE"""),0)</f>
        <v>0</v>
      </c>
      <c r="I23" s="48">
        <f ca="1">IFERROR(__xludf.DUMMYFUNCTION("""COMPUTED_VALUE"""),0)</f>
        <v>0</v>
      </c>
      <c r="J23" s="48">
        <f ca="1">IFERROR(__xludf.DUMMYFUNCTION("""COMPUTED_VALUE"""),0)</f>
        <v>0</v>
      </c>
      <c r="K23" s="48">
        <f ca="1">IFERROR(__xludf.DUMMYFUNCTION("""COMPUTED_VALUE"""),0)</f>
        <v>0</v>
      </c>
      <c r="L23" s="48">
        <f ca="1">IFERROR(__xludf.DUMMYFUNCTION("""COMPUTED_VALUE"""),0)</f>
        <v>0</v>
      </c>
      <c r="M23" s="48">
        <f ca="1">IFERROR(__xludf.DUMMYFUNCTION("""COMPUTED_VALUE"""),0)</f>
        <v>0</v>
      </c>
      <c r="N23" s="48">
        <f ca="1">IFERROR(__xludf.DUMMYFUNCTION("""COMPUTED_VALUE"""),0)</f>
        <v>0</v>
      </c>
      <c r="O23" s="48">
        <f ca="1">IFERROR(__xludf.DUMMYFUNCTION("""COMPUTED_VALUE"""),0)</f>
        <v>0</v>
      </c>
      <c r="P23" s="48">
        <f ca="1">IFERROR(__xludf.DUMMYFUNCTION("""COMPUTED_VALUE"""),0)</f>
        <v>0</v>
      </c>
      <c r="Q23" s="48">
        <f ca="1">IFERROR(__xludf.DUMMYFUNCTION("""COMPUTED_VALUE"""),0)</f>
        <v>0</v>
      </c>
      <c r="R23" s="48">
        <f ca="1">IFERROR(__xludf.DUMMYFUNCTION("""COMPUTED_VALUE"""),0)</f>
        <v>0</v>
      </c>
      <c r="S23" s="48">
        <f ca="1">IFERROR(__xludf.DUMMYFUNCTION("""COMPUTED_VALUE"""),0)</f>
        <v>0</v>
      </c>
    </row>
    <row r="24" spans="1:19">
      <c r="A24" s="46" t="str">
        <f ca="1">IFERROR(__xludf.DUMMYFUNCTION("""COMPUTED_VALUE"""),"UTILIZACION DE EQUIPO DE SOLDADURA")</f>
        <v>UTILIZACION DE EQUIPO DE SOLDADURA</v>
      </c>
      <c r="B24" s="46">
        <f ca="1">IFERROR(__xludf.DUMMYFUNCTION("""COMPUTED_VALUE"""),5)</f>
        <v>5</v>
      </c>
      <c r="C24" s="46" t="str">
        <f ca="1">IFERROR(__xludf.DUMMYFUNCTION("""COMPUTED_VALUE"""),"UTILIZACION DE EQUIPO DE SOLDADURA")</f>
        <v>UTILIZACION DE EQUIPO DE SOLDADURA</v>
      </c>
      <c r="D24" s="46" t="str">
        <f ca="1">IFERROR(__xludf.DUMMYFUNCTION("""COMPUTED_VALUE"""),"DECENDENTE")</f>
        <v>DECENDENTE</v>
      </c>
      <c r="E24" s="46" t="str">
        <f ca="1">IFERROR(__xludf.DUMMYFUNCTION("""COMPUTED_VALUE"""),"BITACORA OPERATIVA")</f>
        <v>BITACORA OPERATIVA</v>
      </c>
      <c r="F24" s="47">
        <f ca="1">IFERROR(__xludf.DUMMYFUNCTION("""COMPUTED_VALUE"""),0)</f>
        <v>0</v>
      </c>
      <c r="G24" s="48">
        <f ca="1">IFERROR(__xludf.DUMMYFUNCTION("""COMPUTED_VALUE"""),0)</f>
        <v>0</v>
      </c>
      <c r="H24" s="48">
        <f ca="1">IFERROR(__xludf.DUMMYFUNCTION("""COMPUTED_VALUE"""),0)</f>
        <v>0</v>
      </c>
      <c r="I24" s="48">
        <f ca="1">IFERROR(__xludf.DUMMYFUNCTION("""COMPUTED_VALUE"""),0)</f>
        <v>0</v>
      </c>
      <c r="J24" s="48">
        <f ca="1">IFERROR(__xludf.DUMMYFUNCTION("""COMPUTED_VALUE"""),0)</f>
        <v>0</v>
      </c>
      <c r="K24" s="48">
        <f ca="1">IFERROR(__xludf.DUMMYFUNCTION("""COMPUTED_VALUE"""),0)</f>
        <v>0</v>
      </c>
      <c r="L24" s="48">
        <f ca="1">IFERROR(__xludf.DUMMYFUNCTION("""COMPUTED_VALUE"""),0)</f>
        <v>0</v>
      </c>
      <c r="M24" s="48">
        <f ca="1">IFERROR(__xludf.DUMMYFUNCTION("""COMPUTED_VALUE"""),0)</f>
        <v>0</v>
      </c>
      <c r="N24" s="48">
        <f ca="1">IFERROR(__xludf.DUMMYFUNCTION("""COMPUTED_VALUE"""),0)</f>
        <v>0</v>
      </c>
      <c r="O24" s="48">
        <f ca="1">IFERROR(__xludf.DUMMYFUNCTION("""COMPUTED_VALUE"""),0)</f>
        <v>0</v>
      </c>
      <c r="P24" s="48">
        <f ca="1">IFERROR(__xludf.DUMMYFUNCTION("""COMPUTED_VALUE"""),0)</f>
        <v>0</v>
      </c>
      <c r="Q24" s="48">
        <f ca="1">IFERROR(__xludf.DUMMYFUNCTION("""COMPUTED_VALUE"""),0)</f>
        <v>0</v>
      </c>
      <c r="R24" s="48">
        <f ca="1">IFERROR(__xludf.DUMMYFUNCTION("""COMPUTED_VALUE"""),0)</f>
        <v>0</v>
      </c>
      <c r="S24" s="48">
        <f ca="1">IFERROR(__xludf.DUMMYFUNCTION("""COMPUTED_VALUE"""),0)</f>
        <v>0</v>
      </c>
    </row>
    <row r="25" spans="1:19">
      <c r="A25" s="46" t="str">
        <f ca="1">IFERROR(__xludf.DUMMYFUNCTION("""COMPUTED_VALUE"""),"UTILIZACION INCORRECTA DE EQUIPO DE SOLDADURA")</f>
        <v>UTILIZACION INCORRECTA DE EQUIPO DE SOLDADURA</v>
      </c>
      <c r="B25" s="46">
        <f ca="1">IFERROR(__xludf.DUMMYFUNCTION("""COMPUTED_VALUE"""),10)</f>
        <v>10</v>
      </c>
      <c r="C25" s="46" t="str">
        <f ca="1">IFERROR(__xludf.DUMMYFUNCTION("""COMPUTED_VALUE"""),"ACCIDENTE POR UTILIZAR INCORRECTAMENTE EL EQUIPO DE SOLDADURA")</f>
        <v>ACCIDENTE POR UTILIZAR INCORRECTAMENTE EL EQUIPO DE SOLDADURA</v>
      </c>
      <c r="D25" s="46" t="str">
        <f ca="1">IFERROR(__xludf.DUMMYFUNCTION("""COMPUTED_VALUE"""),"DECENDENTE")</f>
        <v>DECENDENTE</v>
      </c>
      <c r="E25" s="46" t="str">
        <f ca="1">IFERROR(__xludf.DUMMYFUNCTION("""COMPUTED_VALUE"""),"BITACORA OPERATIVA")</f>
        <v>BITACORA OPERATIVA</v>
      </c>
      <c r="F25" s="47">
        <f ca="1">IFERROR(__xludf.DUMMYFUNCTION("""COMPUTED_VALUE"""),0)</f>
        <v>0</v>
      </c>
      <c r="G25" s="48">
        <f ca="1">IFERROR(__xludf.DUMMYFUNCTION("""COMPUTED_VALUE"""),0)</f>
        <v>0</v>
      </c>
      <c r="H25" s="48">
        <f ca="1">IFERROR(__xludf.DUMMYFUNCTION("""COMPUTED_VALUE"""),0)</f>
        <v>0</v>
      </c>
      <c r="I25" s="48">
        <f ca="1">IFERROR(__xludf.DUMMYFUNCTION("""COMPUTED_VALUE"""),0)</f>
        <v>0</v>
      </c>
      <c r="J25" s="48">
        <f ca="1">IFERROR(__xludf.DUMMYFUNCTION("""COMPUTED_VALUE"""),0)</f>
        <v>0</v>
      </c>
      <c r="K25" s="48">
        <f ca="1">IFERROR(__xludf.DUMMYFUNCTION("""COMPUTED_VALUE"""),0)</f>
        <v>0</v>
      </c>
      <c r="L25" s="48">
        <f ca="1">IFERROR(__xludf.DUMMYFUNCTION("""COMPUTED_VALUE"""),0)</f>
        <v>0</v>
      </c>
      <c r="M25" s="48">
        <f ca="1">IFERROR(__xludf.DUMMYFUNCTION("""COMPUTED_VALUE"""),0)</f>
        <v>0</v>
      </c>
      <c r="N25" s="48">
        <f ca="1">IFERROR(__xludf.DUMMYFUNCTION("""COMPUTED_VALUE"""),0)</f>
        <v>0</v>
      </c>
      <c r="O25" s="48">
        <f ca="1">IFERROR(__xludf.DUMMYFUNCTION("""COMPUTED_VALUE"""),0)</f>
        <v>0</v>
      </c>
      <c r="P25" s="48">
        <f ca="1">IFERROR(__xludf.DUMMYFUNCTION("""COMPUTED_VALUE"""),0)</f>
        <v>0</v>
      </c>
      <c r="Q25" s="48">
        <f ca="1">IFERROR(__xludf.DUMMYFUNCTION("""COMPUTED_VALUE"""),0)</f>
        <v>0</v>
      </c>
      <c r="R25" s="48">
        <f ca="1">IFERROR(__xludf.DUMMYFUNCTION("""COMPUTED_VALUE"""),0)</f>
        <v>0</v>
      </c>
      <c r="S25" s="48">
        <f ca="1">IFERROR(__xludf.DUMMYFUNCTION("""COMPUTED_VALUE"""),0)</f>
        <v>0</v>
      </c>
    </row>
    <row r="26" spans="1:19">
      <c r="A26" s="46" t="str">
        <f ca="1">IFERROR(__xludf.DUMMYFUNCTION("""COMPUTED_VALUE"""),"FORESTAL ( QUEMA DE PASTIZALES)")</f>
        <v>FORESTAL ( QUEMA DE PASTIZALES)</v>
      </c>
      <c r="B26" s="46">
        <f ca="1">IFERROR(__xludf.DUMMYFUNCTION("""COMPUTED_VALUE"""),40)</f>
        <v>40</v>
      </c>
      <c r="C26" s="46" t="str">
        <f ca="1">IFERROR(__xludf.DUMMYFUNCTION("""COMPUTED_VALUE"""),"INCENDIO FORESTAL ATENDIDO")</f>
        <v>INCENDIO FORESTAL ATENDIDO</v>
      </c>
      <c r="D26" s="46" t="str">
        <f ca="1">IFERROR(__xludf.DUMMYFUNCTION("""COMPUTED_VALUE"""),"DECENDENTE")</f>
        <v>DECENDENTE</v>
      </c>
      <c r="E26" s="46" t="str">
        <f ca="1">IFERROR(__xludf.DUMMYFUNCTION("""COMPUTED_VALUE"""),"BITACORA OPERATIVA")</f>
        <v>BITACORA OPERATIVA</v>
      </c>
      <c r="F26" s="47">
        <f ca="1">IFERROR(__xludf.DUMMYFUNCTION("""COMPUTED_VALUE"""),0)</f>
        <v>0</v>
      </c>
      <c r="G26" s="48">
        <f ca="1">IFERROR(__xludf.DUMMYFUNCTION("""COMPUTED_VALUE"""),0)</f>
        <v>0</v>
      </c>
      <c r="H26" s="48">
        <f ca="1">IFERROR(__xludf.DUMMYFUNCTION("""COMPUTED_VALUE"""),0)</f>
        <v>0</v>
      </c>
      <c r="I26" s="48">
        <f ca="1">IFERROR(__xludf.DUMMYFUNCTION("""COMPUTED_VALUE"""),0)</f>
        <v>0</v>
      </c>
      <c r="J26" s="48">
        <f ca="1">IFERROR(__xludf.DUMMYFUNCTION("""COMPUTED_VALUE"""),0)</f>
        <v>0</v>
      </c>
      <c r="K26" s="48">
        <f ca="1">IFERROR(__xludf.DUMMYFUNCTION("""COMPUTED_VALUE"""),0)</f>
        <v>0</v>
      </c>
      <c r="L26" s="48">
        <f ca="1">IFERROR(__xludf.DUMMYFUNCTION("""COMPUTED_VALUE"""),0)</f>
        <v>0</v>
      </c>
      <c r="M26" s="48">
        <f ca="1">IFERROR(__xludf.DUMMYFUNCTION("""COMPUTED_VALUE"""),0)</f>
        <v>0</v>
      </c>
      <c r="N26" s="48">
        <f ca="1">IFERROR(__xludf.DUMMYFUNCTION("""COMPUTED_VALUE"""),0)</f>
        <v>0</v>
      </c>
      <c r="O26" s="48">
        <f ca="1">IFERROR(__xludf.DUMMYFUNCTION("""COMPUTED_VALUE"""),0)</f>
        <v>0</v>
      </c>
      <c r="P26" s="48">
        <f ca="1">IFERROR(__xludf.DUMMYFUNCTION("""COMPUTED_VALUE"""),0)</f>
        <v>0</v>
      </c>
      <c r="Q26" s="48">
        <f ca="1">IFERROR(__xludf.DUMMYFUNCTION("""COMPUTED_VALUE"""),0)</f>
        <v>0</v>
      </c>
      <c r="R26" s="48">
        <f ca="1">IFERROR(__xludf.DUMMYFUNCTION("""COMPUTED_VALUE"""),0)</f>
        <v>0</v>
      </c>
      <c r="S26" s="48">
        <f ca="1">IFERROR(__xludf.DUMMYFUNCTION("""COMPUTED_VALUE"""),0)</f>
        <v>0</v>
      </c>
    </row>
    <row r="27" spans="1:19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</row>
    <row r="28" spans="1:19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</row>
    <row r="29" spans="1:19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</row>
    <row r="31" spans="1:19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</row>
    <row r="40" spans="1:19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</row>
    <row r="41" spans="1:19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</row>
    <row r="42" spans="1:19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1:19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</row>
    <row r="51" spans="1:19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</row>
    <row r="52" spans="1:19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</row>
    <row r="53" spans="1:19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</row>
    <row r="54" spans="1:19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</row>
    <row r="55" spans="1:19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</row>
    <row r="56" spans="1:19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</row>
    <row r="57" spans="1:19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</row>
    <row r="58" spans="1:19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</row>
    <row r="59" spans="1:19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</row>
    <row r="60" spans="1:19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19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</row>
    <row r="62" spans="1:19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  <row r="63" spans="1:19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</row>
    <row r="64" spans="1:19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</row>
    <row r="65" spans="1:19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</row>
    <row r="66" spans="1:19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</row>
    <row r="67" spans="1:19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</row>
    <row r="68" spans="1:19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</row>
    <row r="69" spans="1:19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</row>
    <row r="70" spans="1:19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</row>
    <row r="71" spans="1:19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</row>
    <row r="72" spans="1:19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</row>
    <row r="73" spans="1:19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</row>
    <row r="74" spans="1:19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</row>
    <row r="75" spans="1:19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</row>
    <row r="76" spans="1:19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</row>
    <row r="77" spans="1:19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</row>
    <row r="78" spans="1:19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</row>
    <row r="79" spans="1:19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</row>
    <row r="80" spans="1:19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</row>
    <row r="81" spans="1:19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</row>
    <row r="82" spans="1:19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</row>
    <row r="83" spans="1:19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</row>
    <row r="84" spans="1:19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</row>
    <row r="85" spans="1:19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</row>
    <row r="86" spans="1:19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</row>
    <row r="87" spans="1:19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</row>
    <row r="88" spans="1:19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</row>
    <row r="89" spans="1:19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</row>
    <row r="90" spans="1:19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</row>
    <row r="91" spans="1:19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</row>
    <row r="92" spans="1:19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</row>
    <row r="93" spans="1:19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</row>
    <row r="94" spans="1:19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</row>
    <row r="95" spans="1:19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</row>
    <row r="96" spans="1:19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</row>
    <row r="97" spans="1:19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</row>
    <row r="98" spans="1:19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</row>
    <row r="99" spans="1:19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</row>
    <row r="100" spans="1:19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</row>
    <row r="101" spans="1:19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</row>
    <row r="102" spans="1:19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</row>
    <row r="103" spans="1:19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</row>
    <row r="104" spans="1:19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</row>
    <row r="105" spans="1:19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</row>
    <row r="106" spans="1:19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</row>
    <row r="107" spans="1:19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</row>
    <row r="108" spans="1:19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</row>
    <row r="109" spans="1:19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</row>
    <row r="110" spans="1:19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</row>
    <row r="111" spans="1:19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</row>
    <row r="112" spans="1:19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</row>
    <row r="113" spans="1:19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</row>
    <row r="114" spans="1:19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</row>
    <row r="115" spans="1:19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</row>
    <row r="116" spans="1:19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</row>
    <row r="117" spans="1:19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</row>
    <row r="118" spans="1:19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</row>
    <row r="119" spans="1:19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</row>
    <row r="120" spans="1:19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</row>
    <row r="121" spans="1:19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</row>
    <row r="122" spans="1:19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</row>
    <row r="123" spans="1:19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</row>
    <row r="124" spans="1:19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</row>
    <row r="125" spans="1:19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</row>
    <row r="126" spans="1:19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</row>
    <row r="127" spans="1:19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</row>
    <row r="128" spans="1:19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</row>
    <row r="129" spans="1:19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</row>
    <row r="130" spans="1:19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</row>
    <row r="131" spans="1:19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</row>
    <row r="132" spans="1:19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</row>
    <row r="133" spans="1:19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</row>
    <row r="134" spans="1:19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</row>
    <row r="135" spans="1:19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</row>
    <row r="136" spans="1:19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</row>
    <row r="137" spans="1:19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</row>
    <row r="138" spans="1:19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</row>
    <row r="139" spans="1:19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</row>
    <row r="140" spans="1:19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</row>
    <row r="141" spans="1:19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</row>
    <row r="142" spans="1:19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</row>
    <row r="143" spans="1:19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</row>
    <row r="144" spans="1:19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</row>
    <row r="145" spans="1:19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</row>
    <row r="146" spans="1:19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</row>
    <row r="147" spans="1:19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</row>
    <row r="148" spans="1:19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</row>
    <row r="149" spans="1:19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</row>
    <row r="150" spans="1:19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</row>
    <row r="151" spans="1:19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</row>
    <row r="152" spans="1:19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</row>
    <row r="153" spans="1:19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</row>
    <row r="154" spans="1:19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</row>
    <row r="155" spans="1:19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</row>
    <row r="156" spans="1:19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</row>
    <row r="157" spans="1:19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</row>
    <row r="158" spans="1:19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</row>
    <row r="159" spans="1:19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</row>
    <row r="160" spans="1:19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</row>
    <row r="161" spans="1:19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</row>
    <row r="162" spans="1:19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</row>
    <row r="163" spans="1:19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</row>
    <row r="164" spans="1:19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</row>
    <row r="165" spans="1:19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</row>
    <row r="166" spans="1:19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</row>
    <row r="167" spans="1:19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</row>
    <row r="168" spans="1:19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</row>
    <row r="169" spans="1:19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</row>
    <row r="170" spans="1:19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</row>
    <row r="171" spans="1:19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</row>
    <row r="172" spans="1:19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</row>
    <row r="173" spans="1:19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</row>
    <row r="174" spans="1:19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</row>
    <row r="175" spans="1:19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</row>
    <row r="176" spans="1:19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</row>
    <row r="177" spans="1:19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</row>
    <row r="178" spans="1:19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</row>
    <row r="179" spans="1:19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</row>
    <row r="180" spans="1:19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</row>
    <row r="181" spans="1:19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</row>
    <row r="183" spans="1:19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</row>
    <row r="184" spans="1:19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</row>
    <row r="185" spans="1:19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</row>
    <row r="186" spans="1:19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</row>
    <row r="187" spans="1:19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</row>
    <row r="188" spans="1:19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</row>
    <row r="189" spans="1:19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</row>
    <row r="190" spans="1:19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</row>
    <row r="191" spans="1:19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</row>
    <row r="192" spans="1:19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</row>
    <row r="193" spans="1:19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</row>
    <row r="194" spans="1:19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</row>
    <row r="195" spans="1:19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</row>
    <row r="196" spans="1:19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</row>
    <row r="197" spans="1:19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</row>
    <row r="198" spans="1:19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</row>
    <row r="199" spans="1:19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</row>
    <row r="200" spans="1:19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</row>
    <row r="201" spans="1:19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</row>
    <row r="202" spans="1:19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</row>
    <row r="203" spans="1:19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</row>
    <row r="204" spans="1:19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</row>
    <row r="205" spans="1:19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</row>
    <row r="206" spans="1:19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</row>
    <row r="207" spans="1:19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</row>
    <row r="208" spans="1:19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</row>
    <row r="209" spans="1:19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</row>
    <row r="210" spans="1:19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</row>
    <row r="211" spans="1:19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</row>
    <row r="212" spans="1:19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</row>
    <row r="213" spans="1:19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</row>
    <row r="214" spans="1:19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</row>
    <row r="215" spans="1:19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</row>
    <row r="216" spans="1:19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</row>
    <row r="217" spans="1:19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</row>
    <row r="218" spans="1:19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</row>
    <row r="219" spans="1:19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</row>
    <row r="220" spans="1:19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</row>
    <row r="221" spans="1:19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</row>
    <row r="222" spans="1:19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</row>
    <row r="223" spans="1:19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</row>
    <row r="224" spans="1:19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</row>
    <row r="225" spans="1:19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</row>
    <row r="226" spans="1:19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</row>
    <row r="227" spans="1:19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</row>
    <row r="228" spans="1:19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</row>
    <row r="229" spans="1:19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</row>
    <row r="230" spans="1:19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</row>
    <row r="231" spans="1:19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</row>
    <row r="232" spans="1:19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</row>
    <row r="233" spans="1:19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</row>
    <row r="234" spans="1:19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</row>
    <row r="235" spans="1:19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</row>
    <row r="236" spans="1:19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</row>
    <row r="237" spans="1:19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</row>
    <row r="238" spans="1:19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</row>
    <row r="239" spans="1:19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</row>
    <row r="240" spans="1:19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</row>
    <row r="241" spans="1:19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</row>
    <row r="242" spans="1:19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</row>
    <row r="243" spans="1:19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</row>
    <row r="244" spans="1:19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</row>
    <row r="245" spans="1:19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</row>
    <row r="246" spans="1:19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</row>
    <row r="247" spans="1:19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</row>
    <row r="248" spans="1:19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</row>
    <row r="249" spans="1:19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</row>
    <row r="250" spans="1:19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</row>
    <row r="251" spans="1:19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</row>
    <row r="252" spans="1:19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</row>
    <row r="253" spans="1:19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</row>
    <row r="254" spans="1:19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</row>
    <row r="255" spans="1:19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</row>
    <row r="256" spans="1:19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</row>
    <row r="257" spans="1:19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</row>
    <row r="258" spans="1:19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</row>
    <row r="259" spans="1:19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</row>
    <row r="260" spans="1:19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</row>
    <row r="261" spans="1:19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</row>
    <row r="262" spans="1:19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</row>
    <row r="263" spans="1:19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</row>
    <row r="264" spans="1:19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</row>
    <row r="265" spans="1:19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</row>
    <row r="266" spans="1:19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</row>
    <row r="267" spans="1:19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</row>
    <row r="268" spans="1:19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</row>
    <row r="269" spans="1:19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</row>
    <row r="270" spans="1:19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</row>
    <row r="271" spans="1:19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</row>
    <row r="272" spans="1:19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</row>
    <row r="273" spans="1:19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</row>
    <row r="274" spans="1:19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</row>
    <row r="275" spans="1:19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</row>
    <row r="276" spans="1:19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</row>
    <row r="277" spans="1:19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</row>
    <row r="278" spans="1:19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</row>
    <row r="279" spans="1:19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</row>
    <row r="280" spans="1:19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</row>
    <row r="281" spans="1:19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</row>
    <row r="282" spans="1:19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</row>
    <row r="283" spans="1:19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</row>
    <row r="284" spans="1:19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</row>
    <row r="285" spans="1:19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</row>
    <row r="286" spans="1:19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</row>
    <row r="287" spans="1:19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</row>
    <row r="288" spans="1:19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</row>
    <row r="289" spans="1:19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</row>
    <row r="290" spans="1:19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</row>
    <row r="291" spans="1:19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</row>
    <row r="292" spans="1:19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</row>
    <row r="293" spans="1:19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</row>
    <row r="294" spans="1:19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</row>
    <row r="295" spans="1:19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</row>
    <row r="296" spans="1:19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</row>
    <row r="297" spans="1:19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</row>
    <row r="298" spans="1:19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</row>
    <row r="299" spans="1:19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</row>
    <row r="300" spans="1:19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</row>
    <row r="301" spans="1:19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</row>
    <row r="302" spans="1:19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</row>
    <row r="303" spans="1:19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</row>
    <row r="304" spans="1:19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</row>
    <row r="305" spans="1:19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</row>
    <row r="306" spans="1:19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</row>
    <row r="307" spans="1:19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</row>
    <row r="308" spans="1:19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</row>
    <row r="309" spans="1:19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</row>
    <row r="310" spans="1:19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</row>
    <row r="311" spans="1:19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</row>
    <row r="312" spans="1:19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</row>
    <row r="313" spans="1:19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</row>
    <row r="314" spans="1:19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</row>
    <row r="315" spans="1:19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</row>
    <row r="316" spans="1:19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</row>
    <row r="317" spans="1:19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</row>
    <row r="318" spans="1:19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</row>
    <row r="319" spans="1:19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</row>
    <row r="320" spans="1:19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</row>
    <row r="321" spans="1:19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</row>
    <row r="322" spans="1:19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</row>
    <row r="323" spans="1:19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</row>
    <row r="324" spans="1:19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</row>
    <row r="325" spans="1:19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</row>
    <row r="326" spans="1:19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</row>
    <row r="327" spans="1:19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</row>
    <row r="328" spans="1:19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</row>
    <row r="329" spans="1:19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</row>
    <row r="330" spans="1:19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</row>
    <row r="331" spans="1:19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</row>
    <row r="332" spans="1:19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</row>
    <row r="333" spans="1:19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</row>
    <row r="334" spans="1:19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</row>
    <row r="335" spans="1:19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</row>
    <row r="336" spans="1:19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</row>
    <row r="337" spans="1:19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</row>
    <row r="338" spans="1:19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</row>
    <row r="339" spans="1:19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</row>
    <row r="340" spans="1:19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</row>
    <row r="341" spans="1:19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</row>
    <row r="342" spans="1:19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</row>
    <row r="343" spans="1:19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</row>
    <row r="344" spans="1:19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</row>
    <row r="345" spans="1:19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</row>
    <row r="346" spans="1:19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</row>
    <row r="347" spans="1:19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</row>
    <row r="348" spans="1:19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</row>
    <row r="349" spans="1:19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</row>
    <row r="350" spans="1:19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</row>
    <row r="351" spans="1:19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</row>
    <row r="352" spans="1:19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</row>
    <row r="353" spans="1:19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</row>
    <row r="354" spans="1:19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</row>
    <row r="355" spans="1:19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</row>
    <row r="356" spans="1:19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</row>
    <row r="357" spans="1:19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</row>
    <row r="358" spans="1:19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</row>
    <row r="359" spans="1:19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</row>
    <row r="360" spans="1:19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</row>
    <row r="361" spans="1:19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</row>
    <row r="362" spans="1:19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</row>
    <row r="363" spans="1:19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</row>
    <row r="364" spans="1:19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</row>
    <row r="365" spans="1:19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</row>
    <row r="366" spans="1:19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</row>
    <row r="367" spans="1:19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</row>
    <row r="368" spans="1:19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</row>
    <row r="369" spans="1:19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</row>
    <row r="370" spans="1:19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</row>
    <row r="371" spans="1:19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</row>
    <row r="372" spans="1:19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</row>
    <row r="373" spans="1:19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</row>
    <row r="374" spans="1:19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</row>
    <row r="375" spans="1:19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</row>
    <row r="376" spans="1:19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</row>
    <row r="377" spans="1:19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</row>
    <row r="378" spans="1:19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</row>
    <row r="379" spans="1:19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</row>
    <row r="380" spans="1:19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</row>
    <row r="381" spans="1:19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</row>
    <row r="382" spans="1:19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</row>
    <row r="383" spans="1:19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</row>
    <row r="384" spans="1:19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</row>
    <row r="385" spans="1:19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</row>
    <row r="386" spans="1:19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</row>
    <row r="387" spans="1:19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</row>
    <row r="388" spans="1:19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</row>
    <row r="389" spans="1:19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</row>
    <row r="390" spans="1:19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</row>
    <row r="391" spans="1:19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</row>
    <row r="392" spans="1:19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</row>
    <row r="393" spans="1:19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</row>
    <row r="394" spans="1:19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</row>
    <row r="395" spans="1:19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</row>
    <row r="396" spans="1:19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</row>
    <row r="397" spans="1:19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</row>
    <row r="398" spans="1:19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</row>
    <row r="399" spans="1:19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</row>
    <row r="400" spans="1:19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</row>
    <row r="401" spans="1:19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</row>
    <row r="402" spans="1:19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</row>
    <row r="403" spans="1:19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</row>
    <row r="404" spans="1:19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</row>
    <row r="405" spans="1:19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</row>
    <row r="406" spans="1:19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</row>
    <row r="407" spans="1:19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</row>
    <row r="408" spans="1:19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</row>
    <row r="409" spans="1:19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</row>
    <row r="410" spans="1:19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</row>
    <row r="411" spans="1:19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</row>
    <row r="412" spans="1:19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</row>
    <row r="413" spans="1:19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</row>
    <row r="414" spans="1:19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</row>
    <row r="415" spans="1:19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</row>
    <row r="416" spans="1:19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</row>
    <row r="417" spans="1:19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</row>
    <row r="418" spans="1:19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</row>
    <row r="419" spans="1:19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</row>
    <row r="420" spans="1:19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</row>
    <row r="421" spans="1:19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</row>
    <row r="422" spans="1:19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</row>
    <row r="423" spans="1:19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</row>
    <row r="424" spans="1:19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</row>
    <row r="425" spans="1:19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</row>
    <row r="426" spans="1:19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</row>
    <row r="427" spans="1:19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</row>
    <row r="428" spans="1:19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</row>
    <row r="429" spans="1:19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</row>
    <row r="430" spans="1:19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</row>
    <row r="431" spans="1:19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</row>
    <row r="432" spans="1:19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</row>
    <row r="433" spans="1:19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</row>
    <row r="434" spans="1:19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</row>
    <row r="435" spans="1:19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</row>
    <row r="436" spans="1:19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</row>
    <row r="437" spans="1:19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</row>
    <row r="438" spans="1:19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</row>
    <row r="439" spans="1:19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</row>
    <row r="440" spans="1:19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</row>
    <row r="441" spans="1:19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</row>
    <row r="442" spans="1:19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</row>
    <row r="443" spans="1:19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</row>
    <row r="444" spans="1:19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</row>
    <row r="445" spans="1:19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</row>
    <row r="446" spans="1:19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</row>
    <row r="447" spans="1:19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</row>
    <row r="448" spans="1:19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</row>
    <row r="449" spans="1:19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</row>
    <row r="450" spans="1:19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</row>
    <row r="451" spans="1:19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</row>
    <row r="452" spans="1:19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</row>
    <row r="453" spans="1:19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</row>
    <row r="454" spans="1:19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</row>
    <row r="455" spans="1:19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</row>
    <row r="456" spans="1:19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</row>
    <row r="457" spans="1:19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</row>
    <row r="458" spans="1:19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</row>
    <row r="459" spans="1:19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</row>
    <row r="460" spans="1:19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</row>
    <row r="461" spans="1:19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</row>
    <row r="462" spans="1:19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</row>
    <row r="463" spans="1:19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</row>
    <row r="464" spans="1:19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</row>
    <row r="465" spans="1:19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</row>
    <row r="466" spans="1:19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</row>
    <row r="467" spans="1:19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</row>
    <row r="468" spans="1:19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</row>
    <row r="469" spans="1:19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</row>
    <row r="470" spans="1:19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</row>
    <row r="471" spans="1:19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</row>
    <row r="472" spans="1:19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</row>
    <row r="473" spans="1:19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</row>
    <row r="474" spans="1:19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</row>
    <row r="475" spans="1:19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</row>
    <row r="476" spans="1:19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</row>
    <row r="477" spans="1:19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</row>
    <row r="478" spans="1:19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</row>
    <row r="479" spans="1:19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</row>
    <row r="480" spans="1:19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</row>
    <row r="481" spans="1:19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</row>
    <row r="482" spans="1:19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</row>
    <row r="483" spans="1:19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</row>
    <row r="484" spans="1:19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</row>
    <row r="485" spans="1:19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</row>
    <row r="486" spans="1:19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</row>
    <row r="487" spans="1:19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</row>
    <row r="488" spans="1:19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</row>
    <row r="489" spans="1:19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</row>
    <row r="490" spans="1:19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</row>
    <row r="491" spans="1:19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</row>
    <row r="492" spans="1:19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</row>
    <row r="493" spans="1:19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</row>
    <row r="494" spans="1:19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</row>
    <row r="495" spans="1:19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</row>
    <row r="496" spans="1:19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</row>
    <row r="497" spans="1:19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</row>
    <row r="498" spans="1:19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</row>
    <row r="499" spans="1:19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</row>
    <row r="500" spans="1:19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</row>
    <row r="501" spans="1:19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</row>
    <row r="502" spans="1:19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</row>
    <row r="503" spans="1:19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</row>
    <row r="504" spans="1:19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</row>
    <row r="505" spans="1:19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</row>
    <row r="506" spans="1:19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</row>
    <row r="507" spans="1:19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</row>
    <row r="508" spans="1:19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</row>
    <row r="509" spans="1:19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</row>
    <row r="510" spans="1:19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</row>
    <row r="511" spans="1:19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</row>
    <row r="512" spans="1:19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</row>
    <row r="513" spans="1:19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</row>
    <row r="514" spans="1:19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</row>
    <row r="515" spans="1:19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</row>
    <row r="516" spans="1:19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</row>
    <row r="517" spans="1:19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</row>
    <row r="518" spans="1:19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</row>
    <row r="519" spans="1:19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</row>
    <row r="520" spans="1:19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</row>
    <row r="521" spans="1:19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</row>
    <row r="522" spans="1:19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</row>
    <row r="523" spans="1:19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</row>
    <row r="524" spans="1:19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</row>
    <row r="525" spans="1:19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</row>
    <row r="526" spans="1:19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</row>
    <row r="527" spans="1:19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</row>
    <row r="528" spans="1:19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</row>
    <row r="529" spans="1:19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</row>
    <row r="530" spans="1:19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</row>
    <row r="531" spans="1:19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</row>
    <row r="532" spans="1:19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</row>
    <row r="533" spans="1:19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</row>
    <row r="534" spans="1:19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</row>
    <row r="535" spans="1:19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</row>
    <row r="536" spans="1:19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</row>
    <row r="537" spans="1:19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</row>
    <row r="538" spans="1:19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</row>
    <row r="539" spans="1:19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</row>
    <row r="540" spans="1:19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</row>
    <row r="541" spans="1:19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</row>
    <row r="542" spans="1:19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</row>
    <row r="543" spans="1:19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</row>
    <row r="544" spans="1:19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</row>
    <row r="545" spans="1:19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</row>
    <row r="546" spans="1:19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</row>
    <row r="547" spans="1:19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</row>
    <row r="548" spans="1:19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</row>
    <row r="549" spans="1:19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</row>
    <row r="550" spans="1:19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</row>
    <row r="551" spans="1:19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</row>
    <row r="552" spans="1:19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</row>
    <row r="553" spans="1:19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</row>
    <row r="554" spans="1:19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</row>
    <row r="555" spans="1:19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</row>
    <row r="556" spans="1:19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</row>
    <row r="557" spans="1:19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</row>
    <row r="558" spans="1:19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</row>
    <row r="559" spans="1:19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</row>
    <row r="560" spans="1:19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</row>
    <row r="561" spans="1:19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</row>
    <row r="562" spans="1:19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</row>
    <row r="563" spans="1:19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</row>
    <row r="564" spans="1:19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</row>
    <row r="565" spans="1:19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</row>
    <row r="566" spans="1:19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</row>
    <row r="567" spans="1:19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</row>
    <row r="568" spans="1:19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</row>
    <row r="569" spans="1:19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</row>
    <row r="570" spans="1:19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</row>
    <row r="571" spans="1:19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</row>
    <row r="572" spans="1:19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</row>
    <row r="573" spans="1:19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</row>
    <row r="574" spans="1:19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</row>
    <row r="575" spans="1:19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</row>
    <row r="576" spans="1:19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</row>
    <row r="577" spans="1:19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</row>
    <row r="578" spans="1:19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</row>
    <row r="579" spans="1:19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</row>
    <row r="580" spans="1:19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</row>
    <row r="581" spans="1:19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</row>
    <row r="582" spans="1:19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</row>
    <row r="583" spans="1:19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</row>
    <row r="584" spans="1:19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</row>
    <row r="585" spans="1:19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</row>
    <row r="586" spans="1:19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</row>
    <row r="587" spans="1:19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</row>
    <row r="588" spans="1:19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</row>
    <row r="589" spans="1:19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</row>
    <row r="590" spans="1:19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</row>
    <row r="591" spans="1:19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</row>
    <row r="592" spans="1:19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</row>
    <row r="593" spans="1:19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</row>
    <row r="594" spans="1:19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</row>
    <row r="595" spans="1:19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</row>
    <row r="596" spans="1:19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</row>
    <row r="597" spans="1:19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</row>
    <row r="598" spans="1:19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</row>
    <row r="599" spans="1:19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</row>
    <row r="600" spans="1:19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</row>
    <row r="601" spans="1:19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</row>
    <row r="602" spans="1:19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</row>
    <row r="603" spans="1:19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</row>
    <row r="604" spans="1:19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</row>
    <row r="605" spans="1:19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</row>
    <row r="606" spans="1:19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</row>
    <row r="607" spans="1:19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</row>
    <row r="608" spans="1:19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</row>
    <row r="609" spans="1:19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</row>
    <row r="610" spans="1:19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</row>
    <row r="611" spans="1:19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</row>
    <row r="612" spans="1:19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</row>
    <row r="613" spans="1:19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</row>
    <row r="614" spans="1:19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</row>
    <row r="615" spans="1:19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</row>
    <row r="616" spans="1:19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</row>
    <row r="617" spans="1:19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</row>
    <row r="618" spans="1:19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</row>
    <row r="619" spans="1:19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</row>
    <row r="620" spans="1:19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</row>
    <row r="621" spans="1:19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</row>
    <row r="622" spans="1:19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</row>
    <row r="623" spans="1:19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</row>
    <row r="624" spans="1:19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</row>
    <row r="625" spans="1:19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</row>
    <row r="626" spans="1:19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</row>
    <row r="627" spans="1:19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</row>
    <row r="628" spans="1:19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</row>
    <row r="629" spans="1:19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</row>
    <row r="630" spans="1:19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</row>
    <row r="631" spans="1:19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</row>
    <row r="632" spans="1:19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</row>
    <row r="633" spans="1:19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</row>
    <row r="634" spans="1:19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</row>
    <row r="635" spans="1:19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</row>
    <row r="636" spans="1:19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</row>
    <row r="637" spans="1:19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</row>
    <row r="638" spans="1:19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</row>
    <row r="639" spans="1:19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</row>
    <row r="640" spans="1:19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</row>
    <row r="641" spans="1:19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</row>
    <row r="642" spans="1:19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</row>
    <row r="643" spans="1:19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</row>
    <row r="644" spans="1:19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</row>
    <row r="645" spans="1:19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</row>
    <row r="646" spans="1:19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</row>
    <row r="647" spans="1:19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</row>
    <row r="648" spans="1:19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</row>
    <row r="649" spans="1:19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</row>
    <row r="650" spans="1:19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</row>
    <row r="651" spans="1:19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</row>
    <row r="652" spans="1:19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</row>
    <row r="653" spans="1:19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</row>
    <row r="654" spans="1:19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</row>
    <row r="655" spans="1:19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</row>
    <row r="656" spans="1:19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</row>
    <row r="657" spans="1:19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</row>
    <row r="658" spans="1:19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</row>
    <row r="659" spans="1:19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</row>
    <row r="660" spans="1:19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</row>
    <row r="661" spans="1:19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</row>
    <row r="662" spans="1:19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</row>
    <row r="663" spans="1:19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</row>
    <row r="664" spans="1:19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</row>
    <row r="665" spans="1:19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</row>
    <row r="666" spans="1:19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</row>
    <row r="667" spans="1:19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</row>
    <row r="668" spans="1:19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</row>
    <row r="669" spans="1:19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</row>
    <row r="670" spans="1:19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</row>
    <row r="671" spans="1:19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</row>
    <row r="672" spans="1:19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</row>
    <row r="673" spans="1:19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</row>
    <row r="674" spans="1:19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</row>
    <row r="675" spans="1:19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</row>
    <row r="676" spans="1:19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</row>
    <row r="677" spans="1:19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</row>
    <row r="678" spans="1:19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</row>
    <row r="679" spans="1:19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</row>
    <row r="680" spans="1:19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</row>
    <row r="681" spans="1:19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</row>
    <row r="682" spans="1:19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</row>
    <row r="683" spans="1:19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</row>
    <row r="684" spans="1:19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</row>
    <row r="685" spans="1:19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</row>
    <row r="686" spans="1:19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</row>
    <row r="687" spans="1:19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</row>
    <row r="688" spans="1:19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</row>
    <row r="689" spans="1:19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</row>
    <row r="690" spans="1:19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</row>
    <row r="691" spans="1:19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</row>
    <row r="692" spans="1:19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</row>
    <row r="693" spans="1:19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</row>
    <row r="694" spans="1:19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</row>
    <row r="695" spans="1:19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</row>
    <row r="696" spans="1:19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</row>
    <row r="697" spans="1:19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</row>
    <row r="698" spans="1:19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</row>
    <row r="699" spans="1:19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</row>
    <row r="700" spans="1:19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</row>
    <row r="701" spans="1:19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</row>
    <row r="702" spans="1:19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</row>
    <row r="703" spans="1:19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</row>
    <row r="704" spans="1:19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</row>
    <row r="705" spans="1:19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</row>
    <row r="706" spans="1:19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</row>
    <row r="707" spans="1:19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</row>
    <row r="708" spans="1:19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</row>
    <row r="709" spans="1:19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</row>
    <row r="710" spans="1:19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</row>
    <row r="711" spans="1:19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</row>
    <row r="712" spans="1:19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</row>
    <row r="713" spans="1:19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</row>
    <row r="714" spans="1:19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</row>
    <row r="715" spans="1:19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</row>
    <row r="716" spans="1:19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</row>
    <row r="717" spans="1:19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</row>
    <row r="718" spans="1:19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</row>
    <row r="719" spans="1:19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</row>
    <row r="720" spans="1:19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</row>
    <row r="721" spans="1:19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</row>
    <row r="722" spans="1:19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</row>
    <row r="723" spans="1:19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</row>
    <row r="724" spans="1:19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</row>
    <row r="725" spans="1:19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</row>
    <row r="726" spans="1:19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</row>
    <row r="727" spans="1:19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</row>
    <row r="728" spans="1:19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</row>
    <row r="729" spans="1:19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</row>
    <row r="730" spans="1:19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</row>
    <row r="731" spans="1:19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</row>
    <row r="732" spans="1:19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</row>
    <row r="733" spans="1:19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</row>
    <row r="734" spans="1:19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</row>
    <row r="735" spans="1:19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</row>
    <row r="736" spans="1:19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</row>
    <row r="737" spans="1:19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</row>
    <row r="738" spans="1:19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</row>
    <row r="739" spans="1:19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</row>
    <row r="740" spans="1:19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</row>
    <row r="741" spans="1:19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</row>
    <row r="742" spans="1:19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</row>
    <row r="743" spans="1:19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</row>
    <row r="744" spans="1:19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</row>
    <row r="745" spans="1:19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</row>
    <row r="746" spans="1:19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</row>
    <row r="747" spans="1:19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</row>
    <row r="748" spans="1:19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</row>
    <row r="749" spans="1:19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</row>
    <row r="750" spans="1:19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</row>
    <row r="751" spans="1:19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</row>
    <row r="752" spans="1:19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</row>
    <row r="753" spans="1:19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</row>
    <row r="754" spans="1:19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</row>
    <row r="755" spans="1:19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</row>
    <row r="756" spans="1:19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</row>
    <row r="757" spans="1:19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</row>
    <row r="758" spans="1:19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</row>
    <row r="759" spans="1:19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</row>
    <row r="760" spans="1:19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</row>
    <row r="761" spans="1:19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</row>
    <row r="762" spans="1:19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</row>
    <row r="763" spans="1:19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</row>
    <row r="764" spans="1:19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</row>
    <row r="765" spans="1:19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</row>
    <row r="766" spans="1:19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</row>
    <row r="767" spans="1:19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</row>
    <row r="768" spans="1:19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</row>
    <row r="769" spans="1:19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</row>
    <row r="770" spans="1:19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</row>
    <row r="771" spans="1:19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</row>
    <row r="772" spans="1:19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</row>
    <row r="773" spans="1:19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</row>
    <row r="774" spans="1:19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</row>
    <row r="775" spans="1:19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</row>
    <row r="776" spans="1:19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</row>
    <row r="777" spans="1:19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</row>
    <row r="778" spans="1:19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</row>
    <row r="779" spans="1:19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</row>
    <row r="780" spans="1:19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</row>
    <row r="781" spans="1:19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</row>
    <row r="782" spans="1:19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</row>
    <row r="783" spans="1:19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</row>
    <row r="784" spans="1:19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</row>
    <row r="785" spans="1:19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</row>
    <row r="786" spans="1:19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</row>
    <row r="787" spans="1:19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</row>
    <row r="788" spans="1:19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</row>
    <row r="789" spans="1:19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</row>
    <row r="790" spans="1:19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</row>
    <row r="791" spans="1:19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</row>
    <row r="792" spans="1:19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</row>
    <row r="793" spans="1:19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</row>
    <row r="794" spans="1:19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</row>
    <row r="795" spans="1:19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</row>
    <row r="796" spans="1:19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</row>
    <row r="797" spans="1:19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</row>
    <row r="798" spans="1:19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</row>
    <row r="799" spans="1:19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</row>
    <row r="800" spans="1:19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</row>
    <row r="801" spans="1:19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</row>
    <row r="802" spans="1:19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</row>
    <row r="803" spans="1:19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</row>
    <row r="804" spans="1:19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</row>
    <row r="805" spans="1:19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</row>
    <row r="806" spans="1:19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</row>
    <row r="807" spans="1:19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</row>
    <row r="808" spans="1:19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</row>
    <row r="809" spans="1:19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</row>
    <row r="810" spans="1:19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</row>
    <row r="811" spans="1:19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</row>
    <row r="812" spans="1:19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</row>
    <row r="813" spans="1:19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</row>
    <row r="814" spans="1:19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</row>
    <row r="815" spans="1:19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</row>
    <row r="816" spans="1:19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</row>
    <row r="817" spans="1:19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</row>
    <row r="818" spans="1:19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</row>
    <row r="819" spans="1:19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</row>
    <row r="820" spans="1:19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</row>
    <row r="821" spans="1:19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</row>
    <row r="822" spans="1:19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</row>
    <row r="823" spans="1:19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</row>
    <row r="824" spans="1:19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</row>
    <row r="825" spans="1:19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</row>
    <row r="826" spans="1:19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</row>
    <row r="827" spans="1:19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</row>
    <row r="828" spans="1:19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</row>
    <row r="829" spans="1:19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</row>
    <row r="830" spans="1:19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</row>
    <row r="831" spans="1:19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</row>
    <row r="832" spans="1:19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</row>
    <row r="833" spans="1:19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</row>
    <row r="834" spans="1:19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</row>
    <row r="835" spans="1:19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</row>
    <row r="836" spans="1:19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</row>
    <row r="837" spans="1:19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</row>
    <row r="838" spans="1:19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</row>
    <row r="839" spans="1:19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</row>
    <row r="840" spans="1:19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</row>
    <row r="841" spans="1:19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</row>
    <row r="842" spans="1:19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</row>
    <row r="843" spans="1:19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</row>
    <row r="844" spans="1:19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</row>
    <row r="845" spans="1:19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</row>
    <row r="846" spans="1:19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</row>
    <row r="847" spans="1:19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</row>
    <row r="848" spans="1:19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</row>
    <row r="849" spans="1:19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</row>
    <row r="850" spans="1:19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</row>
    <row r="851" spans="1:19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</row>
    <row r="852" spans="1:19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</row>
    <row r="853" spans="1:19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</row>
    <row r="854" spans="1:19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</row>
    <row r="855" spans="1:19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</row>
    <row r="856" spans="1:19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</row>
    <row r="857" spans="1:19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</row>
    <row r="858" spans="1:19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</row>
    <row r="859" spans="1:19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</row>
    <row r="860" spans="1:19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</row>
    <row r="861" spans="1:19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</row>
    <row r="862" spans="1:19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</row>
    <row r="863" spans="1:19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</row>
    <row r="864" spans="1:19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</row>
    <row r="865" spans="1:19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</row>
    <row r="866" spans="1:19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</row>
    <row r="867" spans="1:19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</row>
    <row r="868" spans="1:19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</row>
    <row r="869" spans="1:19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</row>
    <row r="870" spans="1:19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</row>
    <row r="871" spans="1:19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</row>
    <row r="872" spans="1:19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</row>
    <row r="873" spans="1:19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</row>
    <row r="874" spans="1:19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</row>
    <row r="875" spans="1:19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</row>
    <row r="876" spans="1:19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</row>
    <row r="877" spans="1:19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</row>
    <row r="878" spans="1:19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</row>
    <row r="879" spans="1:19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</row>
    <row r="880" spans="1:19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</row>
    <row r="881" spans="1:19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</row>
    <row r="882" spans="1:19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</row>
    <row r="883" spans="1:19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</row>
    <row r="884" spans="1:19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</row>
    <row r="885" spans="1:19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</row>
    <row r="886" spans="1:19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</row>
    <row r="887" spans="1:19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</row>
    <row r="888" spans="1:19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</row>
    <row r="889" spans="1:19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</row>
    <row r="890" spans="1:19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</row>
    <row r="891" spans="1:19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</row>
    <row r="892" spans="1:19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</row>
    <row r="893" spans="1:19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</row>
    <row r="894" spans="1:19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</row>
    <row r="895" spans="1:19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</row>
    <row r="896" spans="1:19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</row>
    <row r="897" spans="1:19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</row>
    <row r="898" spans="1:19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</row>
    <row r="899" spans="1:19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</row>
    <row r="900" spans="1:19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</row>
    <row r="901" spans="1:19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</row>
    <row r="902" spans="1:19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</row>
    <row r="903" spans="1:19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</row>
    <row r="904" spans="1:19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</row>
    <row r="905" spans="1:19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</row>
    <row r="906" spans="1:19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</row>
    <row r="907" spans="1:19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</row>
    <row r="908" spans="1:19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</row>
    <row r="909" spans="1:19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</row>
    <row r="910" spans="1:19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</row>
    <row r="911" spans="1:19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</row>
    <row r="912" spans="1:19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</row>
    <row r="913" spans="1:19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</row>
    <row r="914" spans="1:19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</row>
    <row r="915" spans="1:19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</row>
    <row r="916" spans="1:19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</row>
    <row r="917" spans="1:19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</row>
    <row r="918" spans="1:19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</row>
    <row r="919" spans="1:19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</row>
    <row r="920" spans="1:19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</row>
    <row r="921" spans="1:19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</row>
    <row r="922" spans="1:19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</row>
    <row r="923" spans="1:19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</row>
    <row r="924" spans="1:19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</row>
    <row r="925" spans="1:19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</row>
    <row r="926" spans="1:19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</row>
    <row r="927" spans="1:19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</row>
    <row r="928" spans="1:19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</row>
    <row r="929" spans="1:19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</row>
    <row r="930" spans="1:19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</row>
    <row r="931" spans="1:19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</row>
    <row r="932" spans="1:19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</row>
    <row r="933" spans="1:19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</row>
    <row r="934" spans="1:19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</row>
    <row r="935" spans="1:19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</row>
    <row r="936" spans="1:19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</row>
    <row r="937" spans="1:19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</row>
    <row r="938" spans="1:19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</row>
    <row r="939" spans="1:19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</row>
    <row r="940" spans="1:19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</row>
    <row r="941" spans="1:19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</row>
    <row r="942" spans="1:19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</row>
    <row r="943" spans="1:19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</row>
    <row r="944" spans="1:19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</row>
    <row r="945" spans="1:19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</row>
    <row r="946" spans="1:19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</row>
    <row r="947" spans="1:19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</row>
    <row r="948" spans="1:19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</row>
    <row r="949" spans="1:19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</row>
    <row r="950" spans="1:19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</row>
    <row r="951" spans="1:19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</row>
    <row r="952" spans="1:19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</row>
    <row r="953" spans="1:19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</row>
    <row r="954" spans="1:19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</row>
    <row r="955" spans="1:19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</row>
    <row r="956" spans="1:19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</row>
    <row r="957" spans="1:19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</row>
    <row r="958" spans="1:19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</row>
    <row r="959" spans="1:19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</row>
    <row r="960" spans="1:19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</row>
    <row r="961" spans="1:19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</row>
    <row r="962" spans="1:19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</row>
    <row r="963" spans="1:19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</row>
    <row r="964" spans="1:19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</row>
    <row r="965" spans="1:19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</row>
    <row r="966" spans="1:19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</row>
    <row r="967" spans="1:19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</row>
    <row r="968" spans="1:19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</row>
    <row r="969" spans="1:19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</row>
    <row r="970" spans="1:19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</row>
    <row r="971" spans="1:19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</row>
    <row r="972" spans="1:19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</row>
    <row r="973" spans="1:19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</row>
    <row r="974" spans="1:19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</row>
    <row r="975" spans="1:19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</row>
    <row r="976" spans="1:19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</row>
    <row r="977" spans="1:19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</row>
    <row r="978" spans="1:19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</row>
    <row r="979" spans="1:19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</row>
    <row r="980" spans="1:19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</row>
    <row r="981" spans="1:19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</row>
    <row r="982" spans="1:19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</row>
    <row r="983" spans="1:19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</row>
    <row r="984" spans="1:19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</row>
    <row r="985" spans="1:19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</row>
    <row r="986" spans="1:19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</row>
    <row r="987" spans="1:19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</row>
    <row r="988" spans="1:19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</row>
    <row r="989" spans="1:19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</row>
    <row r="990" spans="1:19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</row>
    <row r="991" spans="1:19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</row>
    <row r="992" spans="1:19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</row>
    <row r="993" spans="1:19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</row>
    <row r="994" spans="1:19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</row>
    <row r="995" spans="1:19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 summaryRight="0"/>
  </sheetPr>
  <dimension ref="A1:A1000"/>
  <sheetViews>
    <sheetView workbookViewId="0"/>
  </sheetViews>
  <sheetFormatPr baseColWidth="10" defaultColWidth="11.1640625" defaultRowHeight="15" customHeight="1"/>
  <cols>
    <col min="1" max="6" width="11.1640625" customWidth="1"/>
  </cols>
  <sheetData>
    <row r="1" spans="1:1" ht="16">
      <c r="A1" s="49">
        <v>100</v>
      </c>
    </row>
    <row r="2" spans="1:1" ht="16">
      <c r="A2" s="49">
        <v>100</v>
      </c>
    </row>
    <row r="3" spans="1:1" ht="16">
      <c r="A3" s="49">
        <v>100</v>
      </c>
    </row>
    <row r="4" spans="1:1" ht="16">
      <c r="A4" s="49">
        <v>100</v>
      </c>
    </row>
    <row r="5" spans="1:1" ht="16">
      <c r="A5" s="49">
        <v>100</v>
      </c>
    </row>
    <row r="6" spans="1:1" ht="16">
      <c r="A6" s="49">
        <v>100</v>
      </c>
    </row>
    <row r="7" spans="1:1" ht="16">
      <c r="A7" s="49">
        <v>100</v>
      </c>
    </row>
    <row r="8" spans="1:1" ht="16">
      <c r="A8" s="49">
        <v>100</v>
      </c>
    </row>
    <row r="9" spans="1:1" ht="16">
      <c r="A9" s="49">
        <v>100</v>
      </c>
    </row>
    <row r="10" spans="1:1" ht="16">
      <c r="A10" s="49">
        <v>100</v>
      </c>
    </row>
    <row r="11" spans="1:1" ht="16">
      <c r="A11" s="49">
        <v>100</v>
      </c>
    </row>
    <row r="12" spans="1:1" ht="16">
      <c r="A12" s="49">
        <v>100</v>
      </c>
    </row>
    <row r="13" spans="1:1" ht="16">
      <c r="A13" s="49">
        <v>100</v>
      </c>
    </row>
    <row r="14" spans="1:1" ht="16">
      <c r="A14" s="49">
        <v>100</v>
      </c>
    </row>
    <row r="15" spans="1:1" ht="16">
      <c r="A15" s="49">
        <v>100</v>
      </c>
    </row>
    <row r="16" spans="1:1" ht="16">
      <c r="A16" s="49">
        <v>100</v>
      </c>
    </row>
    <row r="17" spans="1:1" ht="16">
      <c r="A17" s="49">
        <v>100</v>
      </c>
    </row>
    <row r="18" spans="1:1" ht="16">
      <c r="A18" s="49">
        <v>100</v>
      </c>
    </row>
    <row r="19" spans="1:1" ht="16">
      <c r="A19" s="49">
        <v>100</v>
      </c>
    </row>
    <row r="20" spans="1:1" ht="16">
      <c r="A20" s="49">
        <v>100</v>
      </c>
    </row>
    <row r="21" spans="1:1" ht="15.75" customHeight="1">
      <c r="A21" s="49">
        <v>100</v>
      </c>
    </row>
    <row r="22" spans="1:1" ht="15.75" customHeight="1">
      <c r="A22" s="49">
        <v>100</v>
      </c>
    </row>
    <row r="23" spans="1:1" ht="15.75" customHeight="1">
      <c r="A23" s="49">
        <v>100</v>
      </c>
    </row>
    <row r="24" spans="1:1" ht="15.75" customHeight="1">
      <c r="A24" s="49">
        <v>100</v>
      </c>
    </row>
    <row r="25" spans="1:1" ht="15.75" customHeight="1">
      <c r="A25" s="49">
        <v>100</v>
      </c>
    </row>
    <row r="26" spans="1:1" ht="15.75" customHeight="1">
      <c r="A26" s="49">
        <v>100</v>
      </c>
    </row>
    <row r="27" spans="1:1" ht="15.75" customHeight="1">
      <c r="A27" s="49">
        <v>100</v>
      </c>
    </row>
    <row r="28" spans="1:1" ht="15.75" customHeight="1">
      <c r="A28" s="49">
        <v>100</v>
      </c>
    </row>
    <row r="29" spans="1:1" ht="15.75" customHeight="1">
      <c r="A29" s="49">
        <v>100</v>
      </c>
    </row>
    <row r="30" spans="1:1" ht="15.75" customHeight="1">
      <c r="A30" s="49">
        <v>100</v>
      </c>
    </row>
    <row r="31" spans="1:1" ht="15.75" customHeight="1">
      <c r="A31" s="49">
        <v>100</v>
      </c>
    </row>
    <row r="32" spans="1:1" ht="15.75" customHeight="1">
      <c r="A32" s="49">
        <v>100</v>
      </c>
    </row>
    <row r="33" spans="1:1" ht="15.75" customHeight="1">
      <c r="A33" s="49">
        <v>100</v>
      </c>
    </row>
    <row r="34" spans="1:1" ht="15.75" customHeight="1">
      <c r="A34" s="49">
        <v>100</v>
      </c>
    </row>
    <row r="35" spans="1:1" ht="15.75" customHeight="1">
      <c r="A35" s="49">
        <v>100</v>
      </c>
    </row>
    <row r="36" spans="1:1" ht="15.75" customHeight="1">
      <c r="A36" s="49">
        <v>100</v>
      </c>
    </row>
    <row r="37" spans="1:1" ht="15.75" customHeight="1">
      <c r="A37" s="49">
        <v>100</v>
      </c>
    </row>
    <row r="38" spans="1:1" ht="15.75" customHeight="1">
      <c r="A38" s="49">
        <v>100</v>
      </c>
    </row>
    <row r="39" spans="1:1" ht="15.75" customHeight="1">
      <c r="A39" s="49">
        <v>100</v>
      </c>
    </row>
    <row r="40" spans="1:1" ht="15.75" customHeight="1">
      <c r="A40" s="49">
        <v>100</v>
      </c>
    </row>
    <row r="41" spans="1:1" ht="15.75" customHeight="1">
      <c r="A41" s="49">
        <v>100</v>
      </c>
    </row>
    <row r="42" spans="1:1" ht="15.75" customHeight="1">
      <c r="A42" s="49">
        <v>100</v>
      </c>
    </row>
    <row r="43" spans="1:1" ht="15.75" customHeight="1">
      <c r="A43" s="49">
        <v>100</v>
      </c>
    </row>
    <row r="44" spans="1:1" ht="15.75" customHeight="1">
      <c r="A44" s="49">
        <v>100</v>
      </c>
    </row>
    <row r="45" spans="1:1" ht="15.75" customHeight="1">
      <c r="A45" s="49">
        <v>100</v>
      </c>
    </row>
    <row r="46" spans="1:1" ht="15.75" customHeight="1">
      <c r="A46" s="49">
        <v>100</v>
      </c>
    </row>
    <row r="47" spans="1:1" ht="15.75" customHeight="1">
      <c r="A47" s="49">
        <v>100</v>
      </c>
    </row>
    <row r="48" spans="1:1" ht="15.75" customHeight="1">
      <c r="A48" s="49">
        <v>100</v>
      </c>
    </row>
    <row r="49" spans="1:1" ht="15.75" customHeight="1">
      <c r="A49" s="49">
        <v>100</v>
      </c>
    </row>
    <row r="50" spans="1:1" ht="15.75" customHeight="1">
      <c r="A50" s="49">
        <v>100</v>
      </c>
    </row>
    <row r="51" spans="1:1" ht="15.75" customHeight="1">
      <c r="A51" s="49">
        <v>100</v>
      </c>
    </row>
    <row r="52" spans="1:1" ht="15.75" customHeight="1">
      <c r="A52" s="49">
        <v>100</v>
      </c>
    </row>
    <row r="53" spans="1:1" ht="15.75" customHeight="1">
      <c r="A53" s="49">
        <v>100</v>
      </c>
    </row>
    <row r="54" spans="1:1" ht="15.75" customHeight="1">
      <c r="A54" s="49">
        <v>100</v>
      </c>
    </row>
    <row r="55" spans="1:1" ht="15.75" customHeight="1">
      <c r="A55" s="49">
        <v>100</v>
      </c>
    </row>
    <row r="56" spans="1:1" ht="15.75" customHeight="1">
      <c r="A56" s="49">
        <v>100</v>
      </c>
    </row>
    <row r="57" spans="1:1" ht="15.75" customHeight="1">
      <c r="A57" s="49">
        <v>100</v>
      </c>
    </row>
    <row r="58" spans="1:1" ht="15.75" customHeight="1">
      <c r="A58" s="49">
        <v>100</v>
      </c>
    </row>
    <row r="59" spans="1:1" ht="15.75" customHeight="1">
      <c r="A59" s="49">
        <v>100</v>
      </c>
    </row>
    <row r="60" spans="1:1" ht="15.75" customHeight="1">
      <c r="A60" s="49">
        <v>100</v>
      </c>
    </row>
    <row r="61" spans="1:1" ht="15.75" customHeight="1">
      <c r="A61" s="49">
        <v>100</v>
      </c>
    </row>
    <row r="62" spans="1:1" ht="15.75" customHeight="1">
      <c r="A62" s="49">
        <v>100</v>
      </c>
    </row>
    <row r="63" spans="1:1" ht="15.75" customHeight="1">
      <c r="A63" s="49">
        <v>100</v>
      </c>
    </row>
    <row r="64" spans="1:1" ht="15.75" customHeight="1">
      <c r="A64" s="49">
        <v>100</v>
      </c>
    </row>
    <row r="65" spans="1:1" ht="15.75" customHeight="1">
      <c r="A65" s="49">
        <v>100</v>
      </c>
    </row>
    <row r="66" spans="1:1" ht="15.75" customHeight="1">
      <c r="A66" s="49">
        <v>100</v>
      </c>
    </row>
    <row r="67" spans="1:1" ht="15.75" customHeight="1">
      <c r="A67" s="49">
        <v>100</v>
      </c>
    </row>
    <row r="68" spans="1:1" ht="15.75" customHeight="1">
      <c r="A68" s="49">
        <v>100</v>
      </c>
    </row>
    <row r="69" spans="1:1" ht="15.75" customHeight="1">
      <c r="A69" s="49">
        <v>100</v>
      </c>
    </row>
    <row r="70" spans="1:1" ht="15.75" customHeight="1">
      <c r="A70" s="49">
        <v>100</v>
      </c>
    </row>
    <row r="71" spans="1:1" ht="15.75" customHeight="1">
      <c r="A71" s="49">
        <v>100</v>
      </c>
    </row>
    <row r="72" spans="1:1" ht="15.75" customHeight="1">
      <c r="A72" s="49">
        <v>100</v>
      </c>
    </row>
    <row r="73" spans="1:1" ht="15.75" customHeight="1">
      <c r="A73" s="49">
        <v>100</v>
      </c>
    </row>
    <row r="74" spans="1:1" ht="15.75" customHeight="1">
      <c r="A74" s="49">
        <v>100</v>
      </c>
    </row>
    <row r="75" spans="1:1" ht="15.75" customHeight="1">
      <c r="A75" s="49">
        <v>100</v>
      </c>
    </row>
    <row r="76" spans="1:1" ht="15.75" customHeight="1">
      <c r="A76" s="49">
        <v>100</v>
      </c>
    </row>
    <row r="77" spans="1:1" ht="15.75" customHeight="1">
      <c r="A77" s="49">
        <v>100</v>
      </c>
    </row>
    <row r="78" spans="1:1" ht="15.75" customHeight="1">
      <c r="A78" s="49">
        <v>100</v>
      </c>
    </row>
    <row r="79" spans="1:1" ht="15.75" customHeight="1">
      <c r="A79" s="49">
        <v>100</v>
      </c>
    </row>
    <row r="80" spans="1:1" ht="15.75" customHeight="1">
      <c r="A80" s="49">
        <v>100</v>
      </c>
    </row>
    <row r="81" spans="1:1" ht="15.75" customHeight="1">
      <c r="A81" s="49">
        <v>100</v>
      </c>
    </row>
    <row r="82" spans="1:1" ht="15.75" customHeight="1">
      <c r="A82" s="49">
        <v>100</v>
      </c>
    </row>
    <row r="83" spans="1:1" ht="15.75" customHeight="1">
      <c r="A83" s="49">
        <v>100</v>
      </c>
    </row>
    <row r="84" spans="1:1" ht="15.75" customHeight="1">
      <c r="A84" s="49">
        <v>100</v>
      </c>
    </row>
    <row r="85" spans="1:1" ht="15.75" customHeight="1">
      <c r="A85" s="49">
        <v>100</v>
      </c>
    </row>
    <row r="86" spans="1:1" ht="15.75" customHeight="1">
      <c r="A86" s="49">
        <v>100</v>
      </c>
    </row>
    <row r="87" spans="1:1" ht="15.75" customHeight="1">
      <c r="A87" s="49">
        <v>100</v>
      </c>
    </row>
    <row r="88" spans="1:1" ht="15.75" customHeight="1">
      <c r="A88" s="49">
        <v>100</v>
      </c>
    </row>
    <row r="89" spans="1:1" ht="15.75" customHeight="1">
      <c r="A89" s="49">
        <v>100</v>
      </c>
    </row>
    <row r="90" spans="1:1" ht="15.75" customHeight="1">
      <c r="A90" s="49">
        <v>100</v>
      </c>
    </row>
    <row r="91" spans="1:1" ht="15.75" customHeight="1">
      <c r="A91" s="49">
        <v>100</v>
      </c>
    </row>
    <row r="92" spans="1:1" ht="15.75" customHeight="1">
      <c r="A92" s="49">
        <v>100</v>
      </c>
    </row>
    <row r="93" spans="1:1" ht="15.75" customHeight="1">
      <c r="A93" s="49">
        <v>100</v>
      </c>
    </row>
    <row r="94" spans="1:1" ht="15.75" customHeight="1">
      <c r="A94" s="49">
        <v>100</v>
      </c>
    </row>
    <row r="95" spans="1:1" ht="15.75" customHeight="1">
      <c r="A95" s="49">
        <v>100</v>
      </c>
    </row>
    <row r="96" spans="1:1" ht="15.75" customHeight="1">
      <c r="A96" s="49">
        <v>100</v>
      </c>
    </row>
    <row r="97" spans="1:1" ht="15.75" customHeight="1">
      <c r="A97" s="49">
        <v>100</v>
      </c>
    </row>
    <row r="98" spans="1:1" ht="15.75" customHeight="1">
      <c r="A98" s="49">
        <v>100</v>
      </c>
    </row>
    <row r="99" spans="1:1" ht="15.75" customHeight="1">
      <c r="A99" s="49">
        <v>100</v>
      </c>
    </row>
    <row r="100" spans="1:1" ht="15.75" customHeight="1">
      <c r="A100" s="49">
        <v>100</v>
      </c>
    </row>
    <row r="101" spans="1:1" ht="15.75" customHeight="1">
      <c r="A101" s="49">
        <v>100</v>
      </c>
    </row>
    <row r="102" spans="1:1" ht="15.75" customHeight="1">
      <c r="A102" s="49">
        <v>100</v>
      </c>
    </row>
    <row r="103" spans="1:1" ht="15.75" customHeight="1">
      <c r="A103" s="49">
        <v>100</v>
      </c>
    </row>
    <row r="104" spans="1:1" ht="15.75" customHeight="1">
      <c r="A104" s="49">
        <v>100</v>
      </c>
    </row>
    <row r="105" spans="1:1" ht="15.75" customHeight="1">
      <c r="A105" s="49">
        <v>100</v>
      </c>
    </row>
    <row r="106" spans="1:1" ht="15.75" customHeight="1">
      <c r="A106" s="49">
        <v>100</v>
      </c>
    </row>
    <row r="107" spans="1:1" ht="15.75" customHeight="1">
      <c r="A107" s="49">
        <v>100</v>
      </c>
    </row>
    <row r="108" spans="1:1" ht="15.75" customHeight="1">
      <c r="A108" s="49">
        <v>100</v>
      </c>
    </row>
    <row r="109" spans="1:1" ht="15.75" customHeight="1">
      <c r="A109" s="49">
        <v>100</v>
      </c>
    </row>
    <row r="110" spans="1:1" ht="15.75" customHeight="1">
      <c r="A110" s="49">
        <v>100</v>
      </c>
    </row>
    <row r="111" spans="1:1" ht="15.75" customHeight="1">
      <c r="A111" s="49">
        <v>100</v>
      </c>
    </row>
    <row r="112" spans="1:1" ht="15.75" customHeight="1">
      <c r="A112" s="49">
        <v>100</v>
      </c>
    </row>
    <row r="113" spans="1:1" ht="15.75" customHeight="1">
      <c r="A113" s="49">
        <v>100</v>
      </c>
    </row>
    <row r="114" spans="1:1" ht="15.75" customHeight="1">
      <c r="A114" s="49">
        <v>100</v>
      </c>
    </row>
    <row r="115" spans="1:1" ht="15.75" customHeight="1">
      <c r="A115" s="49">
        <v>100</v>
      </c>
    </row>
    <row r="116" spans="1:1" ht="15.75" customHeight="1">
      <c r="A116" s="49">
        <v>100</v>
      </c>
    </row>
    <row r="117" spans="1:1" ht="15.75" customHeight="1">
      <c r="A117" s="49">
        <v>100</v>
      </c>
    </row>
    <row r="118" spans="1:1" ht="15.75" customHeight="1">
      <c r="A118" s="49">
        <v>100</v>
      </c>
    </row>
    <row r="119" spans="1:1" ht="15.75" customHeight="1">
      <c r="A119" s="49">
        <v>100</v>
      </c>
    </row>
    <row r="120" spans="1:1" ht="15.75" customHeight="1">
      <c r="A120" s="49">
        <v>100</v>
      </c>
    </row>
    <row r="121" spans="1:1" ht="15.75" customHeight="1">
      <c r="A121" s="49">
        <v>100</v>
      </c>
    </row>
    <row r="122" spans="1:1" ht="15.75" customHeight="1">
      <c r="A122" s="49">
        <v>100</v>
      </c>
    </row>
    <row r="123" spans="1:1" ht="15.75" customHeight="1">
      <c r="A123" s="49">
        <v>100</v>
      </c>
    </row>
    <row r="124" spans="1:1" ht="15.75" customHeight="1">
      <c r="A124" s="49">
        <v>100</v>
      </c>
    </row>
    <row r="125" spans="1:1" ht="15.75" customHeight="1">
      <c r="A125" s="49">
        <v>100</v>
      </c>
    </row>
    <row r="126" spans="1:1" ht="15.75" customHeight="1">
      <c r="A126" s="49">
        <v>100</v>
      </c>
    </row>
    <row r="127" spans="1:1" ht="15.75" customHeight="1">
      <c r="A127" s="49">
        <v>100</v>
      </c>
    </row>
    <row r="128" spans="1:1" ht="15.75" customHeight="1">
      <c r="A128" s="49">
        <v>100</v>
      </c>
    </row>
    <row r="129" spans="1:1" ht="15.75" customHeight="1">
      <c r="A129" s="49">
        <v>100</v>
      </c>
    </row>
    <row r="130" spans="1:1" ht="15.75" customHeight="1">
      <c r="A130" s="49">
        <v>100</v>
      </c>
    </row>
    <row r="131" spans="1:1" ht="15.75" customHeight="1">
      <c r="A131" s="49">
        <v>100</v>
      </c>
    </row>
    <row r="132" spans="1:1" ht="15.75" customHeight="1">
      <c r="A132" s="49">
        <v>100</v>
      </c>
    </row>
    <row r="133" spans="1:1" ht="15.75" customHeight="1">
      <c r="A133" s="49">
        <v>100</v>
      </c>
    </row>
    <row r="134" spans="1:1" ht="15.75" customHeight="1">
      <c r="A134" s="49">
        <v>100</v>
      </c>
    </row>
    <row r="135" spans="1:1" ht="15.75" customHeight="1">
      <c r="A135" s="49">
        <v>100</v>
      </c>
    </row>
    <row r="136" spans="1:1" ht="15.75" customHeight="1">
      <c r="A136" s="49">
        <v>100</v>
      </c>
    </row>
    <row r="137" spans="1:1" ht="15.75" customHeight="1">
      <c r="A137" s="49">
        <v>100</v>
      </c>
    </row>
    <row r="138" spans="1:1" ht="15.75" customHeight="1">
      <c r="A138" s="49">
        <v>100</v>
      </c>
    </row>
    <row r="139" spans="1:1" ht="15.75" customHeight="1">
      <c r="A139" s="49">
        <v>100</v>
      </c>
    </row>
    <row r="140" spans="1:1" ht="15.75" customHeight="1">
      <c r="A140" s="49">
        <v>100</v>
      </c>
    </row>
    <row r="141" spans="1:1" ht="15.75" customHeight="1"/>
    <row r="142" spans="1:1" ht="15.75" customHeight="1"/>
    <row r="143" spans="1:1" ht="15.75" customHeight="1"/>
    <row r="144" spans="1: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U1"/>
  <sheetViews>
    <sheetView workbookViewId="0"/>
  </sheetViews>
  <sheetFormatPr baseColWidth="10" defaultColWidth="11.1640625" defaultRowHeight="15" customHeight="1"/>
  <cols>
    <col min="1" max="1" width="33.1640625" customWidth="1"/>
    <col min="2" max="2" width="24" customWidth="1"/>
  </cols>
  <sheetData>
    <row r="1" spans="1:21" ht="134.25" customHeight="1">
      <c r="A1" s="35"/>
      <c r="B1" s="35" t="s">
        <v>535</v>
      </c>
      <c r="C1" s="60" t="s">
        <v>24</v>
      </c>
      <c r="D1" s="57"/>
      <c r="E1" s="58"/>
      <c r="F1" s="35" t="s">
        <v>536</v>
      </c>
      <c r="G1" s="61" t="s">
        <v>537</v>
      </c>
      <c r="H1" s="58"/>
      <c r="I1" s="62" t="s">
        <v>0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8"/>
    </row>
  </sheetData>
  <mergeCells count="3">
    <mergeCell ref="C1:E1"/>
    <mergeCell ref="G1:H1"/>
    <mergeCell ref="I1:U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U1"/>
  <sheetViews>
    <sheetView workbookViewId="0"/>
  </sheetViews>
  <sheetFormatPr baseColWidth="10" defaultColWidth="11.1640625" defaultRowHeight="15" customHeight="1"/>
  <cols>
    <col min="1" max="1" width="33.1640625" customWidth="1"/>
    <col min="2" max="2" width="24" customWidth="1"/>
  </cols>
  <sheetData>
    <row r="1" spans="1:21" ht="134.25" customHeight="1">
      <c r="A1" s="35"/>
      <c r="B1" s="35" t="s">
        <v>535</v>
      </c>
      <c r="C1" s="60" t="s">
        <v>24</v>
      </c>
      <c r="D1" s="57"/>
      <c r="E1" s="58"/>
      <c r="F1" s="35" t="s">
        <v>536</v>
      </c>
      <c r="G1" s="61" t="s">
        <v>538</v>
      </c>
      <c r="H1" s="58"/>
      <c r="I1" s="62" t="s">
        <v>0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8"/>
    </row>
  </sheetData>
  <mergeCells count="3">
    <mergeCell ref="C1:E1"/>
    <mergeCell ref="G1:H1"/>
    <mergeCell ref="I1:U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U1"/>
  <sheetViews>
    <sheetView workbookViewId="0"/>
  </sheetViews>
  <sheetFormatPr baseColWidth="10" defaultColWidth="11.1640625" defaultRowHeight="15" customHeight="1"/>
  <cols>
    <col min="1" max="1" width="33.1640625" customWidth="1"/>
    <col min="2" max="2" width="24" customWidth="1"/>
  </cols>
  <sheetData>
    <row r="1" spans="1:21" ht="134.25" customHeight="1">
      <c r="A1" s="35"/>
      <c r="B1" s="35" t="s">
        <v>535</v>
      </c>
      <c r="C1" s="60" t="s">
        <v>24</v>
      </c>
      <c r="D1" s="57"/>
      <c r="E1" s="58"/>
      <c r="F1" s="35" t="s">
        <v>536</v>
      </c>
      <c r="G1" s="61" t="s">
        <v>539</v>
      </c>
      <c r="H1" s="58"/>
      <c r="I1" s="62" t="s">
        <v>0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8"/>
    </row>
  </sheetData>
  <mergeCells count="3">
    <mergeCell ref="C1:E1"/>
    <mergeCell ref="G1:H1"/>
    <mergeCell ref="I1:U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3"/>
  <sheetViews>
    <sheetView workbookViewId="0"/>
  </sheetViews>
  <sheetFormatPr baseColWidth="10" defaultColWidth="11.1640625" defaultRowHeight="15" customHeight="1"/>
  <cols>
    <col min="1" max="1" width="26.6640625" customWidth="1"/>
    <col min="2" max="2" width="39.5" customWidth="1"/>
    <col min="3" max="3" width="10.33203125" customWidth="1"/>
    <col min="4" max="4" width="22.33203125" customWidth="1"/>
    <col min="5" max="5" width="15.6640625" customWidth="1"/>
    <col min="6" max="6" width="24.1640625" customWidth="1"/>
    <col min="7" max="7" width="13.6640625" customWidth="1"/>
    <col min="19" max="19" width="12.5" customWidth="1"/>
    <col min="20" max="20" width="16.1640625" customWidth="1"/>
  </cols>
  <sheetData>
    <row r="1" spans="1:20" ht="42.75" customHeight="1">
      <c r="A1" s="35" t="s">
        <v>535</v>
      </c>
      <c r="B1" s="60" t="s">
        <v>24</v>
      </c>
      <c r="C1" s="57"/>
      <c r="D1" s="58"/>
      <c r="E1" s="35" t="s">
        <v>536</v>
      </c>
      <c r="F1" s="63" t="s">
        <v>537</v>
      </c>
      <c r="G1" s="64"/>
      <c r="H1" s="62" t="s">
        <v>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8"/>
    </row>
    <row r="2" spans="1:20" ht="34">
      <c r="A2" s="2" t="s">
        <v>4</v>
      </c>
      <c r="B2" s="3" t="s">
        <v>5</v>
      </c>
      <c r="C2" s="3" t="s">
        <v>6</v>
      </c>
      <c r="D2" s="3" t="s">
        <v>7</v>
      </c>
      <c r="E2" s="2" t="s">
        <v>8</v>
      </c>
      <c r="F2" s="3" t="s">
        <v>9</v>
      </c>
      <c r="G2" s="3" t="s">
        <v>10</v>
      </c>
      <c r="H2" s="3" t="s">
        <v>11</v>
      </c>
      <c r="I2" s="5" t="s">
        <v>12</v>
      </c>
      <c r="J2" s="5" t="s">
        <v>13</v>
      </c>
      <c r="K2" s="5" t="s">
        <v>540</v>
      </c>
      <c r="L2" s="6" t="s">
        <v>15</v>
      </c>
      <c r="M2" s="6" t="s">
        <v>16</v>
      </c>
      <c r="N2" s="6" t="s">
        <v>17</v>
      </c>
      <c r="O2" s="6" t="s">
        <v>18</v>
      </c>
      <c r="P2" s="6" t="s">
        <v>19</v>
      </c>
      <c r="Q2" s="6" t="s">
        <v>20</v>
      </c>
      <c r="R2" s="6" t="s">
        <v>21</v>
      </c>
      <c r="S2" s="6" t="s">
        <v>22</v>
      </c>
      <c r="T2" s="2" t="s">
        <v>23</v>
      </c>
    </row>
    <row r="3" spans="1:20" ht="36" customHeight="1">
      <c r="A3" s="65" t="s">
        <v>24</v>
      </c>
      <c r="B3" s="37" t="s">
        <v>25</v>
      </c>
      <c r="C3" s="38">
        <v>310</v>
      </c>
      <c r="D3" s="8" t="s">
        <v>541</v>
      </c>
      <c r="E3" s="38" t="s">
        <v>286</v>
      </c>
      <c r="F3" s="38" t="s">
        <v>287</v>
      </c>
      <c r="G3" s="39">
        <f ca="1">((T3/C3)*EXT!A1)</f>
        <v>108.70967741935485</v>
      </c>
      <c r="H3" s="38">
        <f ca="1">SUMIFS(CITASPRESIDENCIA,PERIODOPRESIDENCIA,F1,MESAREPORTARPRESIDENCIA,H2)</f>
        <v>20</v>
      </c>
      <c r="I3" s="38">
        <f ca="1">SUMIFS(CITASPRESIDENCIA,PERIODOPRESIDENCIA,F1,MESAREPORTARPRESIDENCIA,I2)</f>
        <v>33</v>
      </c>
      <c r="J3" s="38">
        <f ca="1">SUMIFS(CITASPRESIDENCIA,PERIODOPRESIDENCIA,F1,MESAREPORTARPRESIDENCIA,J2)</f>
        <v>27</v>
      </c>
      <c r="K3" s="38">
        <f ca="1">SUMIFS(CITASPRESIDENCIA,PERIODOPRESIDENCIA,F1,MESAREPORTARPRESIDENCIA,K2)</f>
        <v>30</v>
      </c>
      <c r="L3" s="38">
        <f ca="1">SUMIFS(CITASPRESIDENCIA,PERIODOPRESIDENCIA,F1,MESAREPORTARPRESIDENCIA,L2)</f>
        <v>22</v>
      </c>
      <c r="M3" s="38">
        <f ca="1">SUMIFS(CITASPRESIDENCIA,PERIODOPRESIDENCIA,F1,MESAREPORTARPRESIDENCIA,M2)</f>
        <v>23</v>
      </c>
      <c r="N3" s="38">
        <f ca="1">SUMIFS(CITASPRESIDENCIA,PERIODOPRESIDENCIA,F1,MESAREPORTARPRESIDENCIA,N2)</f>
        <v>17</v>
      </c>
      <c r="O3" s="38">
        <f ca="1">SUMIFS(CITASPRESIDENCIA,PERIODOPRESIDENCIA,F1,MESAREPORTARPRESIDENCIA,O2)</f>
        <v>54</v>
      </c>
      <c r="P3" s="38">
        <f ca="1">SUMIFS(CITASPRESIDENCIA,PERIODOPRESIDENCIA,F1,MESAREPORTARPRESIDENCIA,P2)</f>
        <v>19</v>
      </c>
      <c r="Q3" s="38">
        <f ca="1">SUMIFS(CITASPRESIDENCIA,PERIODOPRESIDENCIA,F1,MESAREPORTARPRESIDENCIA,Q2)</f>
        <v>33</v>
      </c>
      <c r="R3" s="38">
        <f ca="1">SUMIFS(CITASPRESIDENCIA,PERIODOPRESIDENCIA,F1,MESAREPORTARPRESIDENCIA,R2)</f>
        <v>31</v>
      </c>
      <c r="S3" s="38">
        <f ca="1">SUMIFS(CITASPRESIDENCIA,PERIODOPRESIDENCIA,F1,MESAREPORTARPRESIDENCIA,S2)</f>
        <v>28</v>
      </c>
      <c r="T3" s="40">
        <f t="shared" ref="T3:T13" ca="1" si="0">SUM(H3:S3)</f>
        <v>337</v>
      </c>
    </row>
    <row r="4" spans="1:20" ht="36" customHeight="1">
      <c r="A4" s="51"/>
      <c r="B4" s="37" t="s">
        <v>26</v>
      </c>
      <c r="C4" s="38">
        <v>890</v>
      </c>
      <c r="D4" s="8" t="s">
        <v>542</v>
      </c>
      <c r="E4" s="38" t="s">
        <v>286</v>
      </c>
      <c r="F4" s="38" t="s">
        <v>287</v>
      </c>
      <c r="G4" s="39">
        <f ca="1">((T4/C4)*EXT!A2)</f>
        <v>103.37078651685394</v>
      </c>
      <c r="H4" s="38">
        <f ca="1">SUMIFS(PERSONASATENDIDASPRESIDENCIA,PERIODOPRESIDENCIA,F1,MESAREPORTARPRESIDENCIA,H2)</f>
        <v>45</v>
      </c>
      <c r="I4" s="38">
        <f ca="1">SUMIFS(PERSONASATENDIDASPRESIDENCIA,PERIODOPRESIDENCIA,F1,MESAREPORTARPRESIDENCIA,I2)</f>
        <v>80</v>
      </c>
      <c r="J4" s="38">
        <f ca="1">SUMIFS(PERSONASATENDIDASPRESIDENCIA,PERIODOPRESIDENCIA,F1,MESAREPORTARPRESIDENCIA,J2)</f>
        <v>60</v>
      </c>
      <c r="K4" s="38">
        <f ca="1">SUMIFS(PERSONASATENDIDASPRESIDENCIA,PERIODOPRESIDENCIA,F1,MESAREPORTARPRESIDENCIA,K2)</f>
        <v>50</v>
      </c>
      <c r="L4" s="38">
        <f ca="1">SUMIFS(PERSONASATENDIDASPRESIDENCIA,PERIODOPRESIDENCIA,F1,MESAREPORTARPRESIDENCIA,L2)</f>
        <v>52</v>
      </c>
      <c r="M4" s="38">
        <v>42</v>
      </c>
      <c r="N4" s="38">
        <f ca="1">SUMIFS(PERSONASATENDIDASPRESIDENCIA,PERIODOPRESIDENCIA,F1,MESAREPORTARPRESIDENCIA,N2)</f>
        <v>58</v>
      </c>
      <c r="O4" s="38">
        <f ca="1">SUMIFS(PERSONASATENDIDASPRESIDENCIA,PERIODOPRESIDENCIA,F1,MESAREPORTARPRESIDENCIA,O2)</f>
        <v>201</v>
      </c>
      <c r="P4" s="38">
        <f ca="1">SUMIFS(PERSONASATENDIDASPRESIDENCIA,PERIODOPRESIDENCIA,F1,MESAREPORTARPRESIDENCIA,P2)</f>
        <v>38</v>
      </c>
      <c r="Q4" s="38">
        <f ca="1">SUMIFS(PERSONASATENDIDASPRESIDENCIA,PERIODOPRESIDENCIA,F1,MESAREPORTARPRESIDENCIA,Q2)</f>
        <v>112</v>
      </c>
      <c r="R4" s="38">
        <f ca="1">SUMIFS(PERSONASATENDIDASPRESIDENCIA,PERIODOPRESIDENCIA,F1,MESAREPORTARPRESIDENCIA,R2)</f>
        <v>100</v>
      </c>
      <c r="S4" s="38">
        <f ca="1">SUMIFS(PERSONASATENDIDASPRESIDENCIA,PERIODOPRESIDENCIA,F1,MESAREPORTARPRESIDENCIA,S2)</f>
        <v>82</v>
      </c>
      <c r="T4" s="40">
        <f t="shared" ca="1" si="0"/>
        <v>920</v>
      </c>
    </row>
    <row r="5" spans="1:20" ht="36.75" customHeight="1">
      <c r="A5" s="65" t="s">
        <v>27</v>
      </c>
      <c r="B5" s="37" t="s">
        <v>26</v>
      </c>
      <c r="C5" s="38">
        <v>250</v>
      </c>
      <c r="D5" s="8" t="s">
        <v>543</v>
      </c>
      <c r="E5" s="38" t="s">
        <v>286</v>
      </c>
      <c r="F5" s="38" t="s">
        <v>287</v>
      </c>
      <c r="G5" s="39">
        <f ca="1">((T5/C5)*EXT!A3)</f>
        <v>196.4</v>
      </c>
      <c r="H5" s="38">
        <f ca="1">SUMIFS(PERSONASPRESIDENCIA,PERIODOPRESIDENCIA,F1,MESAREPORTARPRESIDENCIA,H2)</f>
        <v>20</v>
      </c>
      <c r="I5" s="38">
        <f ca="1">SUMIFS(PERSONASPRESIDENCIA,PERIODOPRESIDENCIA,F1,MESAREPORTARPRESIDENCIA,I2)</f>
        <v>22</v>
      </c>
      <c r="J5" s="38">
        <v>15</v>
      </c>
      <c r="K5" s="38">
        <f ca="1">SUMIFS(PERSONASPRESIDENCIA,PERIODOPRESIDENCIA,F1,MESAREPORTARPRESIDENCIA,K2)</f>
        <v>25</v>
      </c>
      <c r="L5" s="38">
        <f ca="1">SUMIFS(PERSONASPRESIDENCIA,PERIODOPRESIDENCIA,F1,MESAREPORTARPRESIDENCIA,L2)</f>
        <v>31</v>
      </c>
      <c r="M5" s="38">
        <v>25</v>
      </c>
      <c r="N5" s="38">
        <f ca="1">SUMIFS(PERSONASPRESIDENCIA,PERIODOPRESIDENCIA,F1,MESAREPORTARPRESIDENCIA,N2)</f>
        <v>34</v>
      </c>
      <c r="O5" s="38">
        <f ca="1">SUMIFS(PERSONASPRESIDENCIA,PERIODOPRESIDENCIA,F1,MESAREPORTARPRESIDENCIA,O2)</f>
        <v>35</v>
      </c>
      <c r="P5" s="38">
        <f ca="1">SUMIFS(PERSONASPRESIDENCIA,PERIODOPRESIDENCIA,F1,MESAREPORTARPRESIDENCIA,P2)</f>
        <v>20</v>
      </c>
      <c r="Q5" s="38">
        <f ca="1">SUMIFS(PERSONASPRESIDENCIA,PERIODOPRESIDENCIA,F1,MESAREPORTARPRESIDENCIA,Q2)</f>
        <v>92</v>
      </c>
      <c r="R5" s="38">
        <f ca="1">SUMIFS(PERSONASPRESIDENCIA,PERIODOPRESIDENCIA,F1,MESAREPORTARPRESIDENCIA,R2)</f>
        <v>84</v>
      </c>
      <c r="S5" s="38">
        <f ca="1">SUMIFS(PERSONASPRESIDENCIA,PERIODOPRESIDENCIA,F1,MESAREPORTARPRESIDENCIA,S2)</f>
        <v>88</v>
      </c>
      <c r="T5" s="40">
        <f t="shared" ca="1" si="0"/>
        <v>491</v>
      </c>
    </row>
    <row r="6" spans="1:20" ht="33.75" customHeight="1">
      <c r="A6" s="51"/>
      <c r="B6" s="37" t="s">
        <v>28</v>
      </c>
      <c r="C6" s="38">
        <v>85</v>
      </c>
      <c r="D6" s="8" t="s">
        <v>544</v>
      </c>
      <c r="E6" s="38" t="s">
        <v>286</v>
      </c>
      <c r="F6" s="38" t="s">
        <v>545</v>
      </c>
      <c r="G6" s="39">
        <f ca="1">((T6/C6)*EXT!A4)</f>
        <v>91.764705882352942</v>
      </c>
      <c r="H6" s="38">
        <f ca="1">SUMIFS(ACUERDOSPRESIDENCIA,PERIODOPRESIDENCIA,F1,MESAREPORTARPRESIDENCIA,H2)</f>
        <v>15</v>
      </c>
      <c r="I6" s="38">
        <f ca="1">SUMIFS(ACUERDOSPRESIDENCIA,PERIODOPRESIDENCIA,F1,MESAREPORTARPRESIDENCIA,I2)</f>
        <v>8</v>
      </c>
      <c r="J6" s="38">
        <f ca="1">SUMIFS(ACUERDOSPRESIDENCIA,PERIODOPRESIDENCIA,F1,MESAREPORTARPRESIDENCIA,J2)</f>
        <v>5</v>
      </c>
      <c r="K6" s="38">
        <f ca="1">SUMIFS(ACUERDOSPRESIDENCIA,PERIODOPRESIDENCIA,F1,MESAREPORTARPRESIDENCIA,K2)</f>
        <v>8</v>
      </c>
      <c r="L6" s="38">
        <f ca="1">SUMIFS(ACUERDOSPRESIDENCIA,PERIODOPRESIDENCIA,F1,MESAREPORTARPRESIDENCIA,L2)</f>
        <v>4</v>
      </c>
      <c r="M6" s="38">
        <f ca="1">SUMIFS(ACUERDOSPRESIDENCIA,PERIODOPRESIDENCIA,F1,MESAREPORTARPRESIDENCIA,M2)</f>
        <v>6</v>
      </c>
      <c r="N6" s="38">
        <f ca="1">SUMIFS(ACUERDOSPRESIDENCIA,PERIODOPRESIDENCIA,F1,MESAREPORTARPRESIDENCIA,N2)</f>
        <v>12</v>
      </c>
      <c r="O6" s="38">
        <f ca="1">SUMIFS(ACUERDOSPRESIDENCIA,PERIODOPRESIDENCIA,F1,MESAREPORTARPRESIDENCIA,O2)</f>
        <v>11</v>
      </c>
      <c r="P6" s="38">
        <f ca="1">SUMIFS(ACUERDOSPRESIDENCIA,PERIODOPRESIDENCIA,F1,MESAREPORTARPRESIDENCIA,P2)</f>
        <v>6</v>
      </c>
      <c r="Q6" s="38">
        <f ca="1">SUMIFS(ACUERDOSPRESIDENCIA,PERIODOPRESIDENCIA,F1,MESAREPORTARPRESIDENCIA,Q2)</f>
        <v>1</v>
      </c>
      <c r="R6" s="38">
        <f ca="1">SUMIFS(ACUERDOSPRESIDENCIA,PERIODOPRESIDENCIA,F1,MESAREPORTARPRESIDENCIA,R2)</f>
        <v>1</v>
      </c>
      <c r="S6" s="38">
        <f ca="1">SUMIFS(ACUERDOSPRESIDENCIA,PERIODOPRESIDENCIA,F1,MESAREPORTARPRESIDENCIA,S2)</f>
        <v>1</v>
      </c>
      <c r="T6" s="40">
        <f t="shared" ca="1" si="0"/>
        <v>78</v>
      </c>
    </row>
    <row r="7" spans="1:20" ht="34.5" customHeight="1">
      <c r="A7" s="65" t="s">
        <v>29</v>
      </c>
      <c r="B7" s="37" t="s">
        <v>30</v>
      </c>
      <c r="C7" s="38">
        <v>490</v>
      </c>
      <c r="D7" s="8" t="s">
        <v>546</v>
      </c>
      <c r="E7" s="38" t="s">
        <v>286</v>
      </c>
      <c r="F7" s="38" t="s">
        <v>547</v>
      </c>
      <c r="G7" s="39">
        <f ca="1">((T7/C7)*EXT!A5)</f>
        <v>118.77551020408164</v>
      </c>
      <c r="H7" s="38">
        <f ca="1">SUMIFS(SOLICITUDESPRESIDENCIA,PERIODOPRESIDENCIA,F1,MESAREPORTARPRESIDENCIA,H2)</f>
        <v>41</v>
      </c>
      <c r="I7" s="38">
        <f ca="1">SUMIFS(SOLICITUDESPRESIDENCIA,PERIODOPRESIDENCIA,F1,MESAREPORTARPRESIDENCIA,I2)</f>
        <v>60</v>
      </c>
      <c r="J7" s="38">
        <f ca="1">SUMIFS(SOLICITUDESPRESIDENCIA,PERIODOPRESIDENCIA,F1,MESAREPORTARPRESIDENCIA,J2)</f>
        <v>39</v>
      </c>
      <c r="K7" s="38">
        <f ca="1">SUMIFS(SOLICITUDESPRESIDENCIA,PERIODOPRESIDENCIA,F1,MESAREPORTARPRESIDENCIA,K2)</f>
        <v>52</v>
      </c>
      <c r="L7" s="38">
        <f ca="1">SUMIFS(SOLICITUDESPRESIDENCIA,PERIODOPRESIDENCIA,F1,MESAREPORTARPRESIDENCIA,L2)</f>
        <v>56</v>
      </c>
      <c r="M7" s="38">
        <f ca="1">SUMIFS(SOLICITUDESPRESIDENCIA,PERIODOPRESIDENCIA,F1,MESAREPORTARPRESIDENCIA,M2)</f>
        <v>63</v>
      </c>
      <c r="N7" s="38">
        <f ca="1">SUMIFS(SOLICITUDESPRESIDENCIA,PERIODOPRESIDENCIA,F1,MESAREPORTARPRESIDENCIA,N2)</f>
        <v>30</v>
      </c>
      <c r="O7" s="38">
        <f ca="1">SUMIFS(SOLICITUDESPRESIDENCIA,PERIODOPRESIDENCIA,F1,MESAREPORTARPRESIDENCIA,O2)</f>
        <v>42</v>
      </c>
      <c r="P7" s="38">
        <f ca="1">SUMIFS(SOLICITUDESPRESIDENCIA,PERIODOPRESIDENCIA,F1,MESAREPORTARPRESIDENCIA,P2)</f>
        <v>33</v>
      </c>
      <c r="Q7" s="38">
        <f ca="1">SUMIFS(SOLICITUDESPRESIDENCIA,PERIODOPRESIDENCIA,F1,MESAREPORTARPRESIDENCIA,Q2)</f>
        <v>63</v>
      </c>
      <c r="R7" s="38">
        <f ca="1">SUMIFS(SOLICITUDESPRESIDENCIA,PERIODOPRESIDENCIA,F1,MESAREPORTARPRESIDENCIA,R2)</f>
        <v>78</v>
      </c>
      <c r="S7" s="38">
        <f ca="1">SUMIFS(SOLICITUDESPRESIDENCIA,PERIODOPRESIDENCIA,F1,MESAREPORTARPRESIDENCIA,S2)</f>
        <v>25</v>
      </c>
      <c r="T7" s="40">
        <f t="shared" ca="1" si="0"/>
        <v>582</v>
      </c>
    </row>
    <row r="8" spans="1:20" ht="33" customHeight="1">
      <c r="A8" s="51"/>
      <c r="B8" s="37" t="s">
        <v>31</v>
      </c>
      <c r="C8" s="38">
        <v>12</v>
      </c>
      <c r="D8" s="8" t="s">
        <v>548</v>
      </c>
      <c r="E8" s="38" t="s">
        <v>286</v>
      </c>
      <c r="F8" s="8" t="s">
        <v>549</v>
      </c>
      <c r="G8" s="39">
        <f ca="1">((T8/C8)*EXT!A6)</f>
        <v>191.66666666666669</v>
      </c>
      <c r="H8" s="38">
        <f ca="1">SUMIFS(CAPACITACIONESPRESIDENCIA,PERIODOPRESIDENCIA,F1,MESAREPORTARPRESIDENCIA,H2)</f>
        <v>1</v>
      </c>
      <c r="I8" s="38">
        <f ca="1">SUMIFS(CAPACITACIONESPRESIDENCIA,PERIODOPRESIDENCIA,F1,MESAREPORTARPRESIDENCIA,I2)</f>
        <v>1</v>
      </c>
      <c r="J8" s="38">
        <f ca="1">SUMIFS(CAPACITACIONESPRESIDENCIA,PERIODOPRESIDENCIA,F1,MESAREPORTARPRESIDENCIA,J2)</f>
        <v>1</v>
      </c>
      <c r="K8" s="38">
        <f ca="1">SUMIFS(CAPACITACIONESPRESIDENCIA,PERIODOPRESIDENCIA,F1,MESAREPORTARPRESIDENCIA,K2)</f>
        <v>1</v>
      </c>
      <c r="L8" s="38">
        <f ca="1">SUMIFS(CAPACITACIONESPRESIDENCIA,PERIODOPRESIDENCIA,F1,MESAREPORTARPRESIDENCIA,L2)</f>
        <v>1</v>
      </c>
      <c r="M8" s="38">
        <f ca="1">SUMIFS(CAPACITACIONESPRESIDENCIA,PERIODOPRESIDENCIA,F1,MESAREPORTARPRESIDENCIA,M2)</f>
        <v>1</v>
      </c>
      <c r="N8" s="38">
        <f ca="1">SUMIFS(CAPACITACIONESPRESIDENCIA,PERIODOPRESIDENCIA,F1,MESAREPORTARPRESIDENCIA,N2)</f>
        <v>1</v>
      </c>
      <c r="O8" s="38">
        <f ca="1">SUMIFS(CAPACITACIONESPRESIDENCIA,PERIODOPRESIDENCIA,F1,MESAREPORTARPRESIDENCIA,O2)</f>
        <v>2</v>
      </c>
      <c r="P8" s="38">
        <f ca="1">SUMIFS(CAPACITACIONESPRESIDENCIA,PERIODOPRESIDENCIA,F1,MESAREPORTARPRESIDENCIA,P2)</f>
        <v>1</v>
      </c>
      <c r="Q8" s="38">
        <f ca="1">SUMIFS(CAPACITACIONESPRESIDENCIA,PERIODOPRESIDENCIA,F1,MESAREPORTARPRESIDENCIA,Q2)</f>
        <v>4</v>
      </c>
      <c r="R8" s="38">
        <f ca="1">SUMIFS(CAPACITACIONESPRESIDENCIA,PERIODOPRESIDENCIA,F1,MESAREPORTARPRESIDENCIA,R2)</f>
        <v>4</v>
      </c>
      <c r="S8" s="38">
        <f ca="1">SUMIFS(CAPACITACIONESPRESIDENCIA,PERIODOPRESIDENCIA,F1,MESAREPORTARPRESIDENCIA,S2)</f>
        <v>5</v>
      </c>
      <c r="T8" s="40">
        <f t="shared" ca="1" si="0"/>
        <v>23</v>
      </c>
    </row>
    <row r="9" spans="1:20" ht="34">
      <c r="A9" s="65" t="s">
        <v>32</v>
      </c>
      <c r="B9" s="37" t="s">
        <v>33</v>
      </c>
      <c r="C9" s="38">
        <v>430</v>
      </c>
      <c r="D9" s="8" t="s">
        <v>550</v>
      </c>
      <c r="E9" s="38" t="s">
        <v>286</v>
      </c>
      <c r="F9" s="38" t="s">
        <v>292</v>
      </c>
      <c r="G9" s="39">
        <f ca="1">((T9/C9)*EXT!A7)</f>
        <v>140.23255813953489</v>
      </c>
      <c r="H9" s="38">
        <f ca="1">SUMIFS(NOTASPRESIDENCIA,PERIODOPRESIDENCIA,F1,MESAREPORTARPRESIDENCIA,H2)</f>
        <v>35</v>
      </c>
      <c r="I9" s="38">
        <f ca="1">SUMIFS(NOTASPRESIDENCIA,PERIODOPRESIDENCIA,F1,MESAREPORTARPRESIDENCIA,I2)</f>
        <v>42</v>
      </c>
      <c r="J9" s="38">
        <f ca="1">SUMIFS(NOTASPRESIDENCIA,PERIODOPRESIDENCIA,F1,MESAREPORTARPRESIDENCIA,J2)</f>
        <v>39</v>
      </c>
      <c r="K9" s="38">
        <f ca="1">SUMIFS(NOTASPRESIDENCIA,PERIODOPRESIDENCIA,F1,MESAREPORTARPRESIDENCIA,K2)</f>
        <v>39</v>
      </c>
      <c r="L9" s="38">
        <f ca="1">SUMIFS(NOTASPRESIDENCIA,PERIODOPRESIDENCIA,F1,MESAREPORTARPRESIDENCIA,L2)</f>
        <v>48</v>
      </c>
      <c r="M9" s="38">
        <f ca="1">SUMIFS(NOTASPRESIDENCIA,PERIODOPRESIDENCIA,F1,MESAREPORTARPRESIDENCIA,M2)</f>
        <v>38</v>
      </c>
      <c r="N9" s="38">
        <f ca="1">SUMIFS(NOTASPRESIDENCIA,PERIODOPRESIDENCIA,F1,MESAREPORTARPRESIDENCIA,N2)</f>
        <v>37</v>
      </c>
      <c r="O9" s="38">
        <f ca="1">SUMIFS(NOTASPRESIDENCIA,PERIODOPRESIDENCIA,F1,MESAREPORTARPRESIDENCIA,O2)</f>
        <v>45</v>
      </c>
      <c r="P9" s="38">
        <f ca="1">SUMIFS(NOTASPRESIDENCIA,PERIODOPRESIDENCIA,F1,MESAREPORTARPRESIDENCIA,P2)</f>
        <v>53</v>
      </c>
      <c r="Q9" s="38">
        <f ca="1">SUMIFS(NOTASPRESIDENCIA,PERIODOPRESIDENCIA,F1,MESAREPORTARPRESIDENCIA,Q2)</f>
        <v>84</v>
      </c>
      <c r="R9" s="38">
        <f ca="1">SUMIFS(NOTASPRESIDENCIA,PERIODOPRESIDENCIA,F1,MESAREPORTARPRESIDENCIA,R2)</f>
        <v>55</v>
      </c>
      <c r="S9" s="38">
        <f ca="1">SUMIFS(NOTASPRESIDENCIA,PERIODOPRESIDENCIA,F1,MESAREPORTARPRESIDENCIA,S2)</f>
        <v>88</v>
      </c>
      <c r="T9" s="40">
        <f t="shared" ca="1" si="0"/>
        <v>603</v>
      </c>
    </row>
    <row r="10" spans="1:20" ht="34">
      <c r="A10" s="53"/>
      <c r="B10" s="37" t="s">
        <v>34</v>
      </c>
      <c r="C10" s="38">
        <v>950</v>
      </c>
      <c r="D10" s="8" t="s">
        <v>551</v>
      </c>
      <c r="E10" s="38" t="s">
        <v>286</v>
      </c>
      <c r="F10" s="38" t="s">
        <v>292</v>
      </c>
      <c r="G10" s="39">
        <f ca="1">((T10/C10)*EXT!A8)</f>
        <v>120.10526315789474</v>
      </c>
      <c r="H10" s="38">
        <f ca="1">SUMIFS(DISEÑOSPRESIDENCIA,PERIODOPRESIDENCIA,F1,MESAREPORTARPRESIDENCIA,H2)</f>
        <v>50</v>
      </c>
      <c r="I10" s="38">
        <f ca="1">SUMIFS(DISEÑOSPRESIDENCIA,PERIODOPRESIDENCIA,F1,MESAREPORTARPRESIDENCIA,I2)</f>
        <v>72</v>
      </c>
      <c r="J10" s="38">
        <f ca="1">SUMIFS(DISEÑOSPRESIDENCIA,PERIODOPRESIDENCIA,F1,MESAREPORTARPRESIDENCIA,J2)</f>
        <v>69</v>
      </c>
      <c r="K10" s="38">
        <f ca="1">SUMIFS(DISEÑOSPRESIDENCIA,PERIODOPRESIDENCIA,F1,MESAREPORTARPRESIDENCIA,K2)</f>
        <v>172</v>
      </c>
      <c r="L10" s="38">
        <f ca="1">SUMIFS(DISEÑOSPRESIDENCIA,PERIODOPRESIDENCIA,F1,MESAREPORTARPRESIDENCIA,L2)</f>
        <v>140</v>
      </c>
      <c r="M10" s="38">
        <f ca="1">SUMIFS(DISEÑOSPRESIDENCIA,PERIODOPRESIDENCIA,F1,MESAREPORTARPRESIDENCIA,M2)</f>
        <v>142</v>
      </c>
      <c r="N10" s="38">
        <f ca="1">SUMIFS(DISEÑOSPRESIDENCIA,PERIODOPRESIDENCIA,F1,MESAREPORTARPRESIDENCIA,N2)</f>
        <v>76</v>
      </c>
      <c r="O10" s="38">
        <f ca="1">SUMIFS(DISEÑOSPRESIDENCIA,PERIODOPRESIDENCIA,F1,MESAREPORTARPRESIDENCIA,O2)</f>
        <v>58</v>
      </c>
      <c r="P10" s="38">
        <f ca="1">SUMIFS(DISEÑOSPRESIDENCIA,PERIODOPRESIDENCIA,F1,MESAREPORTARPRESIDENCIA,P2)</f>
        <v>73</v>
      </c>
      <c r="Q10" s="38">
        <f ca="1">SUMIFS(DISEÑOSPRESIDENCIA,PERIODOPRESIDENCIA,F1,MESAREPORTARPRESIDENCIA,Q2)</f>
        <v>99</v>
      </c>
      <c r="R10" s="38">
        <f ca="1">SUMIFS(DISEÑOSPRESIDENCIA,PERIODOPRESIDENCIA,F1,MESAREPORTARPRESIDENCIA,R2)</f>
        <v>71</v>
      </c>
      <c r="S10" s="38">
        <f ca="1">SUMIFS(DISEÑOSPRESIDENCIA,PERIODOPRESIDENCIA,F1,MESAREPORTARPRESIDENCIA,S2)</f>
        <v>119</v>
      </c>
      <c r="T10" s="40">
        <f t="shared" ca="1" si="0"/>
        <v>1141</v>
      </c>
    </row>
    <row r="11" spans="1:20" ht="34">
      <c r="A11" s="51"/>
      <c r="B11" s="37" t="s">
        <v>35</v>
      </c>
      <c r="C11" s="38">
        <v>1100</v>
      </c>
      <c r="D11" s="8" t="s">
        <v>552</v>
      </c>
      <c r="E11" s="38" t="s">
        <v>286</v>
      </c>
      <c r="F11" s="38" t="s">
        <v>292</v>
      </c>
      <c r="G11" s="39">
        <f ca="1">((T11/C11)*EXT!A9)</f>
        <v>179.18181818181819</v>
      </c>
      <c r="H11" s="38">
        <f ca="1">SUMIFS(PUBLICACIONESPRESIDENCIA,PERIODOPRESIDENCIA,F1,MESAREPORTARPRESIDENCIA,H2)</f>
        <v>114</v>
      </c>
      <c r="I11" s="38">
        <f ca="1">SUMIFS(PUBLICACIONESPRESIDENCIA,PERIODOPRESIDENCIA,F1,MESAREPORTARPRESIDENCIA,I2)</f>
        <v>150</v>
      </c>
      <c r="J11" s="38">
        <f ca="1">SUMIFS(PUBLICACIONESPRESIDENCIA,PERIODOPRESIDENCIA,F1,MESAREPORTARPRESIDENCIA,J2)</f>
        <v>163</v>
      </c>
      <c r="K11" s="38">
        <f ca="1">SUMIFS(PUBLICACIONESPRESIDENCIA,PERIODOPRESIDENCIA,F1,MESAREPORTARPRESIDENCIA,K2)</f>
        <v>1</v>
      </c>
      <c r="L11" s="38">
        <f ca="1">SUMIFS(PUBLICACIONESPRESIDENCIA,PERIODOPRESIDENCIA,F1,MESAREPORTARPRESIDENCIA,L2)</f>
        <v>2</v>
      </c>
      <c r="M11" s="38">
        <f ca="1">SUMIFS(PUBLICACIONESPRESIDENCIA,PERIODOPRESIDENCIA,F1,MESAREPORTARPRESIDENCIA,M2)</f>
        <v>2</v>
      </c>
      <c r="N11" s="38">
        <f ca="1">SUMIFS(PUBLICACIONESPRESIDENCIA,PERIODOPRESIDENCIA,F1,MESAREPORTARPRESIDENCIA,N2)</f>
        <v>155</v>
      </c>
      <c r="O11" s="38">
        <f ca="1">SUMIFS(PUBLICACIONESPRESIDENCIA,PERIODOPRESIDENCIA,F1,MESAREPORTARPRESIDENCIA,O2)</f>
        <v>207</v>
      </c>
      <c r="P11" s="38">
        <f ca="1">SUMIFS(PUBLICACIONESPRESIDENCIA,PERIODOPRESIDENCIA,F1,MESAREPORTARPRESIDENCIA,P2)</f>
        <v>189</v>
      </c>
      <c r="Q11" s="38">
        <f ca="1">SUMIFS(PUBLICACIONESPRESIDENCIA,PERIODOPRESIDENCIA,F1,MESAREPORTARPRESIDENCIA,Q2)</f>
        <v>281</v>
      </c>
      <c r="R11" s="38">
        <f ca="1">SUMIFS(PUBLICACIONESPRESIDENCIA,PERIODOPRESIDENCIA,F1,MESAREPORTARPRESIDENCIA,R2)</f>
        <v>271</v>
      </c>
      <c r="S11" s="38">
        <f ca="1">SUMIFS(PUBLICACIONESPRESIDENCIA,PERIODOPRESIDENCIA,F1,MESAREPORTARPRESIDENCIA,S2)</f>
        <v>436</v>
      </c>
      <c r="T11" s="40">
        <f t="shared" ca="1" si="0"/>
        <v>1971</v>
      </c>
    </row>
    <row r="12" spans="1:20" ht="39" customHeight="1">
      <c r="A12" s="65" t="s">
        <v>36</v>
      </c>
      <c r="B12" s="37" t="s">
        <v>37</v>
      </c>
      <c r="C12" s="38">
        <v>23</v>
      </c>
      <c r="D12" s="8" t="s">
        <v>553</v>
      </c>
      <c r="E12" s="38" t="s">
        <v>286</v>
      </c>
      <c r="F12" s="8" t="s">
        <v>554</v>
      </c>
      <c r="G12" s="39">
        <f ca="1">((T12/C12)*EXT!A10)</f>
        <v>121.73913043478262</v>
      </c>
      <c r="H12" s="38">
        <f ca="1">SUMIFS(PROGRAMASIMPLEMENTADOSPRESIDENCIA,PERIODOPRESIDENCIA,F1,MESAREPORTARPRESIDENCIA,H2)</f>
        <v>0</v>
      </c>
      <c r="I12" s="38">
        <f ca="1">SUMIFS(PROGRAMASIMPLEMENTADOSPRESIDENCIA,PERIODOPRESIDENCIA,F1,MESAREPORTARPRESIDENCIA,I2)</f>
        <v>0</v>
      </c>
      <c r="J12" s="38">
        <f ca="1">SUMIFS(PROGRAMASIMPLEMENTADOSPRESIDENCIA,PERIODOPRESIDENCIA,H2,MESAREPORTARPRESIDENCIA,J2)</f>
        <v>0</v>
      </c>
      <c r="K12" s="38">
        <f ca="1">SUMIFS(PROGRAMASIMPLEMENTADOSPRESIDENCIA,PERIODOPRESIDENCIA,F1,MESAREPORTARPRESIDENCIA,K2)</f>
        <v>2</v>
      </c>
      <c r="L12" s="38">
        <f ca="1">SUMIFS(PROGRAMASIMPLEMENTADOSPRESIDENCIA,PERIODOPRESIDENCIA,F1,MESAREPORTARPRESIDENCIA,L2)</f>
        <v>3</v>
      </c>
      <c r="M12" s="38">
        <f ca="1">SUMIFS(PROGRAMASIMPLEMENTADOSPRESIDENCIA,PERIODOPRESIDENCIA,F1,MESAREPORTARPRESIDENCIA,M2)</f>
        <v>2</v>
      </c>
      <c r="N12" s="38">
        <f ca="1">SUMIFS(PROGRAMASIMPLEMENTADOSPRESIDENCIA,PERIODOPRESIDENCIA,F1,MESAREPORTARPRESIDENCIA,N2)</f>
        <v>3</v>
      </c>
      <c r="O12" s="38">
        <f ca="1">SUMIFS(PROGRAMASIMPLEMENTADOSPRESIDENCIA,PERIODOPRESIDENCIA,F1,MESAREPORTARPRESIDENCIA,O2)</f>
        <v>5</v>
      </c>
      <c r="P12" s="38">
        <f ca="1">SUMIFS(PROGRAMASIMPLEMENTADOSPRESIDENCIA,PERIODOPRESIDENCIA,F1,MESAREPORTARPRESIDENCIA,P2)</f>
        <v>3</v>
      </c>
      <c r="Q12" s="38">
        <f ca="1">SUMIFS(PROGRAMASIMPLEMENTADOSPRESIDENCIA,PERIODOPRESIDENCIA,F1,MESAREPORTARPRESIDENCIA,Q2)</f>
        <v>3</v>
      </c>
      <c r="R12" s="38">
        <f ca="1">SUMIFS(PROGRAMASIMPLEMENTADOSPRESIDENCIA,PERIODOPRESIDENCIA,F1,MESAREPORTARPRESIDENCIA,R2)</f>
        <v>0</v>
      </c>
      <c r="S12" s="38">
        <f ca="1">SUMIFS(PROGRAMASIMPLEMENTADOSPRESIDENCIA,PERIODOPRESIDENCIA,F1,MESAREPORTARPRESIDENCIA,S2)</f>
        <v>7</v>
      </c>
      <c r="T12" s="40">
        <f t="shared" ca="1" si="0"/>
        <v>28</v>
      </c>
    </row>
    <row r="13" spans="1:20" ht="34">
      <c r="A13" s="51"/>
      <c r="B13" s="37" t="s">
        <v>38</v>
      </c>
      <c r="C13" s="38">
        <v>2150</v>
      </c>
      <c r="D13" s="8" t="s">
        <v>543</v>
      </c>
      <c r="E13" s="38" t="s">
        <v>286</v>
      </c>
      <c r="F13" s="8" t="s">
        <v>554</v>
      </c>
      <c r="G13" s="39">
        <f ca="1">((T13/C13)*EXT!A11)</f>
        <v>144.04651162790699</v>
      </c>
      <c r="H13" s="38">
        <f ca="1">SUMIFS(PERSONASBENEFICIADASPRESIDENCIA,PERIODOPRESIDENCIA,F1,MESAREPORTARPRESIDENCIA,H2)</f>
        <v>0</v>
      </c>
      <c r="I13" s="38">
        <f ca="1">SUMIFS(PERSONASBENEFICIADASPRESIDENCIA,PERIODOPRESIDENCIA,F1,MESAREPORTARPRESIDENCIA,I2)</f>
        <v>0</v>
      </c>
      <c r="J13" s="38">
        <f ca="1">SUMIFS(PERSONASBENEFICIADASPRESIDENCIA,PERIODOPRESIDENCIA,F1,MESAREPORTARPRESIDENCIA,J2)</f>
        <v>0</v>
      </c>
      <c r="K13" s="38">
        <f ca="1">SUMIFS(PERSONASBENEFICIADASPRESIDENCIA,PERIODOPRESIDENCIA,F1,MESAREPORTARPRESIDENCIA,K2)</f>
        <v>255</v>
      </c>
      <c r="L13" s="38">
        <f ca="1">SUMIFS(PERSONASBENEFICIADASPRESIDENCIA,PERIODOPRESIDENCIA,F1,MESAREPORTARPRESIDENCIA,L2)</f>
        <v>272</v>
      </c>
      <c r="M13" s="38">
        <f ca="1">SUMIFS(PERSONASBENEFICIADASPRESIDENCIA,PERIODOPRESIDENCIA,F1,MESAREPORTARPRESIDENCIA,M2)</f>
        <v>350</v>
      </c>
      <c r="N13" s="38">
        <f ca="1">SUMIFS(PERSONASBENEFICIADASPRESIDENCIA,PERIODOPRESIDENCIA,F1,MESAREPORTARPRESIDENCIA,N2)</f>
        <v>253</v>
      </c>
      <c r="O13" s="38">
        <f ca="1">SUMIFS(PERSONASBENEFICIADASPRESIDENCIA,PERIODOPRESIDENCIA,F1,MESAREPORTARPRESIDENCIA,O2)</f>
        <v>326</v>
      </c>
      <c r="P13" s="38">
        <f ca="1">SUMIFS(PERSONASBENEFICIADASPRESIDENCIA,PERIODOPRESIDENCIA,F1,MESAREPORTARPRESIDENCIA,P2)</f>
        <v>250</v>
      </c>
      <c r="Q13" s="38">
        <f ca="1">SUMIFS(PERSONASBENEFICIADASPRESIDENCIA,PERIODOPRESIDENCIA,F1,MESAREPORTARPRESIDENCIA,Q2)</f>
        <v>251</v>
      </c>
      <c r="R13" s="38">
        <f ca="1">SUMIFS(PERSONASBENEFICIADASPRESIDENCIA,PERIODOPRESIDENCIA,F1,MESAREPORTARPRESIDENCIA,R2)</f>
        <v>0</v>
      </c>
      <c r="S13" s="38">
        <f ca="1">SUMIFS(PERSONASBENEFICIADASPRESIDENCIA,PERIODOPRESIDENCIA,F1,MESAREPORTARPRESIDENCIA,S2)</f>
        <v>1140</v>
      </c>
      <c r="T13" s="40">
        <f t="shared" ca="1" si="0"/>
        <v>3097</v>
      </c>
    </row>
  </sheetData>
  <mergeCells count="8">
    <mergeCell ref="A7:A8"/>
    <mergeCell ref="A9:A11"/>
    <mergeCell ref="A12:A13"/>
    <mergeCell ref="B1:D1"/>
    <mergeCell ref="F1:G1"/>
    <mergeCell ref="H1:T1"/>
    <mergeCell ref="A3:A4"/>
    <mergeCell ref="A5:A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T13"/>
  <sheetViews>
    <sheetView workbookViewId="0"/>
  </sheetViews>
  <sheetFormatPr baseColWidth="10" defaultColWidth="11.1640625" defaultRowHeight="15" customHeight="1"/>
  <cols>
    <col min="1" max="1" width="26.6640625" customWidth="1"/>
    <col min="2" max="2" width="39.5" customWidth="1"/>
    <col min="3" max="3" width="10.33203125" customWidth="1"/>
    <col min="4" max="4" width="22.33203125" customWidth="1"/>
    <col min="5" max="5" width="15.6640625" customWidth="1"/>
    <col min="6" max="6" width="24.1640625" customWidth="1"/>
    <col min="7" max="7" width="13.6640625" customWidth="1"/>
    <col min="19" max="19" width="12.5" customWidth="1"/>
    <col min="20" max="20" width="16.1640625" customWidth="1"/>
  </cols>
  <sheetData>
    <row r="1" spans="1:20" ht="42.75" customHeight="1">
      <c r="A1" s="35" t="s">
        <v>535</v>
      </c>
      <c r="B1" s="60" t="s">
        <v>24</v>
      </c>
      <c r="C1" s="57"/>
      <c r="D1" s="58"/>
      <c r="E1" s="35" t="s">
        <v>536</v>
      </c>
      <c r="F1" s="63" t="s">
        <v>538</v>
      </c>
      <c r="G1" s="64"/>
      <c r="H1" s="62" t="s">
        <v>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8"/>
    </row>
    <row r="2" spans="1:20" ht="34">
      <c r="A2" s="2" t="s">
        <v>4</v>
      </c>
      <c r="B2" s="3" t="s">
        <v>5</v>
      </c>
      <c r="C2" s="3" t="s">
        <v>6</v>
      </c>
      <c r="D2" s="3" t="s">
        <v>7</v>
      </c>
      <c r="E2" s="2" t="s">
        <v>8</v>
      </c>
      <c r="F2" s="3" t="s">
        <v>9</v>
      </c>
      <c r="G2" s="3" t="s">
        <v>10</v>
      </c>
      <c r="H2" s="3" t="s">
        <v>11</v>
      </c>
      <c r="I2" s="5" t="s">
        <v>12</v>
      </c>
      <c r="J2" s="5" t="s">
        <v>13</v>
      </c>
      <c r="K2" s="5" t="s">
        <v>540</v>
      </c>
      <c r="L2" s="6" t="s">
        <v>15</v>
      </c>
      <c r="M2" s="6" t="s">
        <v>16</v>
      </c>
      <c r="N2" s="6" t="s">
        <v>17</v>
      </c>
      <c r="O2" s="6" t="s">
        <v>18</v>
      </c>
      <c r="P2" s="6" t="s">
        <v>19</v>
      </c>
      <c r="Q2" s="6" t="s">
        <v>20</v>
      </c>
      <c r="R2" s="6" t="s">
        <v>21</v>
      </c>
      <c r="S2" s="6" t="s">
        <v>22</v>
      </c>
      <c r="T2" s="2" t="s">
        <v>23</v>
      </c>
    </row>
    <row r="3" spans="1:20" ht="36" customHeight="1">
      <c r="A3" s="65" t="s">
        <v>24</v>
      </c>
      <c r="B3" s="37" t="s">
        <v>25</v>
      </c>
      <c r="C3" s="38">
        <v>337</v>
      </c>
      <c r="D3" s="8" t="s">
        <v>541</v>
      </c>
      <c r="E3" s="38" t="s">
        <v>286</v>
      </c>
      <c r="F3" s="38" t="s">
        <v>287</v>
      </c>
      <c r="G3" s="39">
        <f ca="1">((T3/C3)*EXT!A1)</f>
        <v>0</v>
      </c>
      <c r="H3" s="38">
        <f ca="1">SUMIFS(CITASPRESIDENCIA,PERIODOPRESIDENCIA,F1,MESAREPORTARPRESIDENCIA,H2)</f>
        <v>0</v>
      </c>
      <c r="I3" s="38">
        <f ca="1">SUMIFS(CITASPRESIDENCIA,PERIODOPRESIDENCIA,F1,MESAREPORTARPRESIDENCIA,I2)</f>
        <v>0</v>
      </c>
      <c r="J3" s="38">
        <f ca="1">SUMIFS(CITASPRESIDENCIA,PERIODOPRESIDENCIA,F1,MESAREPORTARPRESIDENCIA,J2)</f>
        <v>0</v>
      </c>
      <c r="K3" s="38">
        <f ca="1">SUMIFS(CITASPRESIDENCIA,PERIODOPRESIDENCIA,F1,MESAREPORTARPRESIDENCIA,K2)</f>
        <v>0</v>
      </c>
      <c r="L3" s="38">
        <f ca="1">SUMIFS(CITASPRESIDENCIA,PERIODOPRESIDENCIA,F1,MESAREPORTARPRESIDENCIA,L2)</f>
        <v>0</v>
      </c>
      <c r="M3" s="38">
        <f ca="1">SUMIFS(CITASPRESIDENCIA,PERIODOPRESIDENCIA,F1,MESAREPORTARPRESIDENCIA,M2)</f>
        <v>0</v>
      </c>
      <c r="N3" s="38">
        <f ca="1">SUMIFS(CITASPRESIDENCIA,PERIODOPRESIDENCIA,F1,MESAREPORTARPRESIDENCIA,N2)</f>
        <v>0</v>
      </c>
      <c r="O3" s="38">
        <f ca="1">SUMIFS(CITASPRESIDENCIA,PERIODOPRESIDENCIA,F1,MESAREPORTARPRESIDENCIA,O2)</f>
        <v>0</v>
      </c>
      <c r="P3" s="38">
        <f ca="1">SUMIFS(CITASPRESIDENCIA,PERIODOPRESIDENCIA,F1,MESAREPORTARPRESIDENCIA,P2)</f>
        <v>0</v>
      </c>
      <c r="Q3" s="38">
        <f ca="1">SUMIFS(CITASPRESIDENCIA,PERIODOPRESIDENCIA,F1,MESAREPORTARPRESIDENCIA,Q2)</f>
        <v>0</v>
      </c>
      <c r="R3" s="38">
        <f ca="1">SUMIFS(CITASPRESIDENCIA,PERIODOPRESIDENCIA,F1,MESAREPORTARPRESIDENCIA,R2)</f>
        <v>0</v>
      </c>
      <c r="S3" s="38">
        <f ca="1">SUMIFS(CITASPRESIDENCIA,PERIODOPRESIDENCIA,F1,MESAREPORTARPRESIDENCIA,S2)</f>
        <v>0</v>
      </c>
      <c r="T3" s="40">
        <f t="shared" ref="T3:T13" ca="1" si="0">SUM(H3:S3)</f>
        <v>0</v>
      </c>
    </row>
    <row r="4" spans="1:20" ht="36" customHeight="1">
      <c r="A4" s="51"/>
      <c r="B4" s="37" t="s">
        <v>26</v>
      </c>
      <c r="C4" s="38">
        <v>920</v>
      </c>
      <c r="D4" s="8" t="s">
        <v>542</v>
      </c>
      <c r="E4" s="38" t="s">
        <v>286</v>
      </c>
      <c r="F4" s="38" t="s">
        <v>287</v>
      </c>
      <c r="G4" s="39">
        <f ca="1">((T4/C4)*EXT!A2)</f>
        <v>0</v>
      </c>
      <c r="H4" s="38">
        <f ca="1">SUMIFS(PERSONASATENDIDASPRESIDENCIA,PERIODOPRESIDENCIA,F1,MESAREPORTARPRESIDENCIA,H2)</f>
        <v>0</v>
      </c>
      <c r="I4" s="38">
        <f ca="1">SUMIFS(PERSONASATENDIDASPRESIDENCIA,PERIODOPRESIDENCIA,F1,MESAREPORTARPRESIDENCIA,I2)</f>
        <v>0</v>
      </c>
      <c r="J4" s="38">
        <f ca="1">SUMIFS(PERSONASATENDIDASPRESIDENCIA,PERIODOPRESIDENCIA,F1,MESAREPORTARPRESIDENCIA,J2)</f>
        <v>0</v>
      </c>
      <c r="K4" s="38">
        <f ca="1">SUMIFS(PERSONASATENDIDASPRESIDENCIA,PERIODOPRESIDENCIA,F1,MESAREPORTARPRESIDENCIA,K2)</f>
        <v>0</v>
      </c>
      <c r="L4" s="38">
        <f ca="1">SUMIFS(PERSONASATENDIDASPRESIDENCIA,PERIODOPRESIDENCIA,F1,MESAREPORTARPRESIDENCIA,L2)</f>
        <v>0</v>
      </c>
      <c r="M4" s="38">
        <f ca="1">SUMIFS(PERSONASATENDIDASPRESIDENCIA,PERIODOPRESIDENCIA,H1,MESAREPORTARPRESIDENCIA,M2)</f>
        <v>0</v>
      </c>
      <c r="N4" s="38">
        <f ca="1">SUMIFS(PERSONASATENDIDASPRESIDENCIA,PERIODOPRESIDENCIA,F1,MESAREPORTARPRESIDENCIA,N2)</f>
        <v>0</v>
      </c>
      <c r="O4" s="38">
        <f ca="1">SUMIFS(PERSONASATENDIDASPRESIDENCIA,PERIODOPRESIDENCIA,F1,MESAREPORTARPRESIDENCIA,O2)</f>
        <v>0</v>
      </c>
      <c r="P4" s="38">
        <f ca="1">SUMIFS(PERSONASATENDIDASPRESIDENCIA,PERIODOPRESIDENCIA,F1,MESAREPORTARPRESIDENCIA,P2)</f>
        <v>0</v>
      </c>
      <c r="Q4" s="38">
        <f ca="1">SUMIFS(PERSONASATENDIDASPRESIDENCIA,PERIODOPRESIDENCIA,F1,MESAREPORTARPRESIDENCIA,Q2)</f>
        <v>0</v>
      </c>
      <c r="R4" s="38">
        <f ca="1">SUMIFS(PERSONASATENDIDASPRESIDENCIA,PERIODOPRESIDENCIA,F1,MESAREPORTARPRESIDENCIA,R2)</f>
        <v>0</v>
      </c>
      <c r="S4" s="38">
        <f ca="1">SUMIFS(PERSONASATENDIDASPRESIDENCIA,PERIODOPRESIDENCIA,F1,MESAREPORTARPRESIDENCIA,S2)</f>
        <v>0</v>
      </c>
      <c r="T4" s="40">
        <f t="shared" ca="1" si="0"/>
        <v>0</v>
      </c>
    </row>
    <row r="5" spans="1:20" ht="36.75" customHeight="1">
      <c r="A5" s="65" t="s">
        <v>27</v>
      </c>
      <c r="B5" s="37" t="s">
        <v>26</v>
      </c>
      <c r="C5" s="38">
        <v>491</v>
      </c>
      <c r="D5" s="8" t="s">
        <v>543</v>
      </c>
      <c r="E5" s="38" t="s">
        <v>286</v>
      </c>
      <c r="F5" s="38" t="s">
        <v>287</v>
      </c>
      <c r="G5" s="39">
        <f ca="1">((T5/C5)*EXT!A3)</f>
        <v>0</v>
      </c>
      <c r="H5" s="38">
        <f ca="1">SUMIFS(PERSONASPRESIDENCIA,PERIODOPRESIDENCIA,F1,MESAREPORTARPRESIDENCIA,H2)</f>
        <v>0</v>
      </c>
      <c r="I5" s="38">
        <f ca="1">SUMIFS(PERSONASPRESIDENCIA,PERIODOPRESIDENCIA,F1,MESAREPORTARPRESIDENCIA,I2)</f>
        <v>0</v>
      </c>
      <c r="J5" s="38">
        <f ca="1">SUMIFS(PERSONASPRESIDENCIA,PERIODOPRESIDENCIA,H1,MESAREPORTARPRESIDENCIA,J2)</f>
        <v>0</v>
      </c>
      <c r="K5" s="38">
        <f ca="1">SUMIFS(PERSONASPRESIDENCIA,PERIODOPRESIDENCIA,F1,MESAREPORTARPRESIDENCIA,K2)</f>
        <v>0</v>
      </c>
      <c r="L5" s="38">
        <f ca="1">SUMIFS(PERSONASPRESIDENCIA,PERIODOPRESIDENCIA,F1,MESAREPORTARPRESIDENCIA,L2)</f>
        <v>0</v>
      </c>
      <c r="M5" s="38">
        <f ca="1">SUMIFS(PERSONASPRESIDENCIA,PERIODOPRESIDENCIA,H1,MESAREPORTARPRESIDENCIA,M2)</f>
        <v>0</v>
      </c>
      <c r="N5" s="38">
        <f ca="1">SUMIFS(PERSONASPRESIDENCIA,PERIODOPRESIDENCIA,F1,MESAREPORTARPRESIDENCIA,N2)</f>
        <v>0</v>
      </c>
      <c r="O5" s="38">
        <f ca="1">SUMIFS(PERSONASPRESIDENCIA,PERIODOPRESIDENCIA,F1,MESAREPORTARPRESIDENCIA,O2)</f>
        <v>0</v>
      </c>
      <c r="P5" s="38">
        <f ca="1">SUMIFS(PERSONASPRESIDENCIA,PERIODOPRESIDENCIA,F1,MESAREPORTARPRESIDENCIA,P2)</f>
        <v>0</v>
      </c>
      <c r="Q5" s="38">
        <f ca="1">SUMIFS(PERSONASPRESIDENCIA,PERIODOPRESIDENCIA,F1,MESAREPORTARPRESIDENCIA,Q2)</f>
        <v>0</v>
      </c>
      <c r="R5" s="38">
        <f ca="1">SUMIFS(PERSONASPRESIDENCIA,PERIODOPRESIDENCIA,F1,MESAREPORTARPRESIDENCIA,R2)</f>
        <v>0</v>
      </c>
      <c r="S5" s="38">
        <f ca="1">SUMIFS(PERSONASPRESIDENCIA,PERIODOPRESIDENCIA,F1,MESAREPORTARPRESIDENCIA,S2)</f>
        <v>0</v>
      </c>
      <c r="T5" s="40">
        <f t="shared" ca="1" si="0"/>
        <v>0</v>
      </c>
    </row>
    <row r="6" spans="1:20" ht="33.75" customHeight="1">
      <c r="A6" s="51"/>
      <c r="B6" s="37" t="s">
        <v>28</v>
      </c>
      <c r="C6" s="38">
        <v>78</v>
      </c>
      <c r="D6" s="8" t="s">
        <v>544</v>
      </c>
      <c r="E6" s="38" t="s">
        <v>286</v>
      </c>
      <c r="F6" s="38" t="s">
        <v>545</v>
      </c>
      <c r="G6" s="39">
        <f ca="1">((T6/C6)*EXT!A4)</f>
        <v>0</v>
      </c>
      <c r="H6" s="38">
        <f ca="1">SUMIFS(ACUERDOSPRESIDENCIA,PERIODOPRESIDENCIA,F1,MESAREPORTARPRESIDENCIA,H2)</f>
        <v>0</v>
      </c>
      <c r="I6" s="38">
        <f ca="1">SUMIFS(ACUERDOSPRESIDENCIA,PERIODOPRESIDENCIA,F1,MESAREPORTARPRESIDENCIA,I2)</f>
        <v>0</v>
      </c>
      <c r="J6" s="38">
        <f ca="1">SUMIFS(ACUERDOSPRESIDENCIA,PERIODOPRESIDENCIA,F1,MESAREPORTARPRESIDENCIA,J2)</f>
        <v>0</v>
      </c>
      <c r="K6" s="38">
        <f ca="1">SUMIFS(ACUERDOSPRESIDENCIA,PERIODOPRESIDENCIA,F1,MESAREPORTARPRESIDENCIA,K2)</f>
        <v>0</v>
      </c>
      <c r="L6" s="38">
        <f ca="1">SUMIFS(ACUERDOSPRESIDENCIA,PERIODOPRESIDENCIA,F1,MESAREPORTARPRESIDENCIA,L2)</f>
        <v>0</v>
      </c>
      <c r="M6" s="38">
        <f ca="1">SUMIFS(ACUERDOSPRESIDENCIA,PERIODOPRESIDENCIA,F1,MESAREPORTARPRESIDENCIA,M2)</f>
        <v>0</v>
      </c>
      <c r="N6" s="38">
        <f ca="1">SUMIFS(ACUERDOSPRESIDENCIA,PERIODOPRESIDENCIA,F1,MESAREPORTARPRESIDENCIA,N2)</f>
        <v>0</v>
      </c>
      <c r="O6" s="38">
        <f ca="1">SUMIFS(ACUERDOSPRESIDENCIA,PERIODOPRESIDENCIA,F1,MESAREPORTARPRESIDENCIA,O2)</f>
        <v>0</v>
      </c>
      <c r="P6" s="38">
        <f ca="1">SUMIFS(ACUERDOSPRESIDENCIA,PERIODOPRESIDENCIA,F1,MESAREPORTARPRESIDENCIA,P2)</f>
        <v>0</v>
      </c>
      <c r="Q6" s="38">
        <f ca="1">SUMIFS(ACUERDOSPRESIDENCIA,PERIODOPRESIDENCIA,F1,MESAREPORTARPRESIDENCIA,Q2)</f>
        <v>0</v>
      </c>
      <c r="R6" s="38">
        <f ca="1">SUMIFS(ACUERDOSPRESIDENCIA,PERIODOPRESIDENCIA,F1,MESAREPORTARPRESIDENCIA,R2)</f>
        <v>0</v>
      </c>
      <c r="S6" s="38">
        <f ca="1">SUMIFS(ACUERDOSPRESIDENCIA,PERIODOPRESIDENCIA,F1,MESAREPORTARPRESIDENCIA,S2)</f>
        <v>0</v>
      </c>
      <c r="T6" s="40">
        <f t="shared" ca="1" si="0"/>
        <v>0</v>
      </c>
    </row>
    <row r="7" spans="1:20" ht="34.5" customHeight="1">
      <c r="A7" s="65" t="s">
        <v>29</v>
      </c>
      <c r="B7" s="37" t="s">
        <v>30</v>
      </c>
      <c r="C7" s="38">
        <v>582</v>
      </c>
      <c r="D7" s="8" t="s">
        <v>546</v>
      </c>
      <c r="E7" s="38" t="s">
        <v>286</v>
      </c>
      <c r="F7" s="38" t="s">
        <v>547</v>
      </c>
      <c r="G7" s="39">
        <f ca="1">((T7/C7)*EXT!A5)</f>
        <v>8.5910652920962196</v>
      </c>
      <c r="H7" s="38">
        <f ca="1">SUMIFS(SOLICITUDESPRESIDENCIA,PERIODOPRESIDENCIA,F1,MESAREPORTARPRESIDENCIA,H2)</f>
        <v>31</v>
      </c>
      <c r="I7" s="38">
        <f ca="1">SUMIFS(SOLICITUDESPRESIDENCIA,PERIODOPRESIDENCIA,F1,MESAREPORTARPRESIDENCIA,I2)</f>
        <v>19</v>
      </c>
      <c r="J7" s="38">
        <f ca="1">SUMIFS(SOLICITUDESPRESIDENCIA,PERIODOPRESIDENCIA,F1,MESAREPORTARPRESIDENCIA,J2)</f>
        <v>0</v>
      </c>
      <c r="K7" s="38">
        <f ca="1">SUMIFS(SOLICITUDESPRESIDENCIA,PERIODOPRESIDENCIA,F1,MESAREPORTARPRESIDENCIA,K2)</f>
        <v>0</v>
      </c>
      <c r="L7" s="38">
        <f ca="1">SUMIFS(SOLICITUDESPRESIDENCIA,PERIODOPRESIDENCIA,F1,MESAREPORTARPRESIDENCIA,L2)</f>
        <v>0</v>
      </c>
      <c r="M7" s="38">
        <f ca="1">SUMIFS(SOLICITUDESPRESIDENCIA,PERIODOPRESIDENCIA,F1,MESAREPORTARPRESIDENCIA,M2)</f>
        <v>0</v>
      </c>
      <c r="N7" s="38">
        <f ca="1">SUMIFS(SOLICITUDESPRESIDENCIA,PERIODOPRESIDENCIA,F1,MESAREPORTARPRESIDENCIA,N2)</f>
        <v>0</v>
      </c>
      <c r="O7" s="38">
        <f ca="1">SUMIFS(SOLICITUDESPRESIDENCIA,PERIODOPRESIDENCIA,F1,MESAREPORTARPRESIDENCIA,O2)</f>
        <v>0</v>
      </c>
      <c r="P7" s="38">
        <f ca="1">SUMIFS(SOLICITUDESPRESIDENCIA,PERIODOPRESIDENCIA,F1,MESAREPORTARPRESIDENCIA,P2)</f>
        <v>0</v>
      </c>
      <c r="Q7" s="38">
        <f ca="1">SUMIFS(SOLICITUDESPRESIDENCIA,PERIODOPRESIDENCIA,F1,MESAREPORTARPRESIDENCIA,Q2)</f>
        <v>0</v>
      </c>
      <c r="R7" s="38">
        <f ca="1">SUMIFS(SOLICITUDESPRESIDENCIA,PERIODOPRESIDENCIA,F1,MESAREPORTARPRESIDENCIA,R2)</f>
        <v>0</v>
      </c>
      <c r="S7" s="38">
        <f ca="1">SUMIFS(SOLICITUDESPRESIDENCIA,PERIODOPRESIDENCIA,F1,MESAREPORTARPRESIDENCIA,S2)</f>
        <v>0</v>
      </c>
      <c r="T7" s="40">
        <f t="shared" ca="1" si="0"/>
        <v>50</v>
      </c>
    </row>
    <row r="8" spans="1:20" ht="33" customHeight="1">
      <c r="A8" s="51"/>
      <c r="B8" s="37" t="s">
        <v>31</v>
      </c>
      <c r="C8" s="38">
        <v>23</v>
      </c>
      <c r="D8" s="8" t="s">
        <v>548</v>
      </c>
      <c r="E8" s="38" t="s">
        <v>286</v>
      </c>
      <c r="F8" s="8" t="s">
        <v>549</v>
      </c>
      <c r="G8" s="39">
        <f ca="1">((T8/C8)*EXT!A6)</f>
        <v>13.043478260869565</v>
      </c>
      <c r="H8" s="38">
        <f ca="1">SUMIFS(CAPACITACIONESPRESIDENCIA,PERIODOPRESIDENCIA,F1,MESAREPORTARPRESIDENCIA,H2)</f>
        <v>2</v>
      </c>
      <c r="I8" s="38">
        <f ca="1">SUMIFS(CAPACITACIONESPRESIDENCIA,PERIODOPRESIDENCIA,F1,MESAREPORTARPRESIDENCIA,I2)</f>
        <v>1</v>
      </c>
      <c r="J8" s="38">
        <f ca="1">SUMIFS(CAPACITACIONESPRESIDENCIA,PERIODOPRESIDENCIA,H1,MESAREPORTARPRESIDENCIA,J2)</f>
        <v>0</v>
      </c>
      <c r="K8" s="38">
        <f ca="1">SUMIFS(CAPACITACIONESPRESIDENCIA,PERIODOPRESIDENCIA,F1,MESAREPORTARPRESIDENCIA,K2)</f>
        <v>0</v>
      </c>
      <c r="L8" s="38">
        <f ca="1">SUMIFS(CAPACITACIONESPRESIDENCIA,PERIODOPRESIDENCIA,F1,MESAREPORTARPRESIDENCIA,L2)</f>
        <v>0</v>
      </c>
      <c r="M8" s="38">
        <f ca="1">SUMIFS(CAPACITACIONESPRESIDENCIA,PERIODOPRESIDENCIA,F1,MESAREPORTARPRESIDENCIA,M2)</f>
        <v>0</v>
      </c>
      <c r="N8" s="38">
        <f ca="1">SUMIFS(CAPACITACIONESPRESIDENCIA,PERIODOPRESIDENCIA,F1,MESAREPORTARPRESIDENCIA,N2)</f>
        <v>0</v>
      </c>
      <c r="O8" s="38">
        <f ca="1">SUMIFS(CAPACITACIONESPRESIDENCIA,PERIODOPRESIDENCIA,F1,MESAREPORTARPRESIDENCIA,O2)</f>
        <v>0</v>
      </c>
      <c r="P8" s="38">
        <f ca="1">SUMIFS(CAPACITACIONESPRESIDENCIA,PERIODOPRESIDENCIA,F1,MESAREPORTARPRESIDENCIA,P2)</f>
        <v>0</v>
      </c>
      <c r="Q8" s="38">
        <f ca="1">SUMIFS(CAPACITACIONESPRESIDENCIA,PERIODOPRESIDENCIA,F1,MESAREPORTARPRESIDENCIA,Q2)</f>
        <v>0</v>
      </c>
      <c r="R8" s="38">
        <f ca="1">SUMIFS(CAPACITACIONESPRESIDENCIA,PERIODOPRESIDENCIA,F1,MESAREPORTARPRESIDENCIA,R2)</f>
        <v>0</v>
      </c>
      <c r="S8" s="38">
        <f ca="1">SUMIFS(CAPACITACIONESPRESIDENCIA,PERIODOPRESIDENCIA,F1,MESAREPORTARPRESIDENCIA,S2)</f>
        <v>0</v>
      </c>
      <c r="T8" s="40">
        <f t="shared" ca="1" si="0"/>
        <v>3</v>
      </c>
    </row>
    <row r="9" spans="1:20" ht="34">
      <c r="A9" s="65" t="s">
        <v>32</v>
      </c>
      <c r="B9" s="37" t="s">
        <v>33</v>
      </c>
      <c r="C9" s="38">
        <v>603</v>
      </c>
      <c r="D9" s="8" t="s">
        <v>550</v>
      </c>
      <c r="E9" s="38" t="s">
        <v>286</v>
      </c>
      <c r="F9" s="38" t="s">
        <v>292</v>
      </c>
      <c r="G9" s="39">
        <f ca="1">((T9/C9)*EXT!A7)</f>
        <v>0</v>
      </c>
      <c r="H9" s="38">
        <f ca="1">SUMIFS(NOTASPRESIDENCIA,PERIODOPRESIDENCIA,F1,MESAREPORTARPRESIDENCIA,H2)</f>
        <v>0</v>
      </c>
      <c r="I9" s="38">
        <f ca="1">SUMIFS(NOTASPRESIDENCIA,PERIODOPRESIDENCIA,F1,MESAREPORTARPRESIDENCIA,I2)</f>
        <v>0</v>
      </c>
      <c r="J9" s="38">
        <f ca="1">SUMIFS(NOTASPRESIDENCIA,PERIODOPRESIDENCIA,F1,MESAREPORTARPRESIDENCIA,J2)</f>
        <v>0</v>
      </c>
      <c r="K9" s="38">
        <f ca="1">SUMIFS(NOTASPRESIDENCIA,PERIODOPRESIDENCIA,F1,MESAREPORTARPRESIDENCIA,K2)</f>
        <v>0</v>
      </c>
      <c r="L9" s="38">
        <f ca="1">SUMIFS(NOTASPRESIDENCIA,PERIODOPRESIDENCIA,F1,MESAREPORTARPRESIDENCIA,L2)</f>
        <v>0</v>
      </c>
      <c r="M9" s="38">
        <f ca="1">SUMIFS(NOTASPRESIDENCIA,PERIODOPRESIDENCIA,F1,MESAREPORTARPRESIDENCIA,M2)</f>
        <v>0</v>
      </c>
      <c r="N9" s="38">
        <f ca="1">SUMIFS(NOTASPRESIDENCIA,PERIODOPRESIDENCIA,F1,MESAREPORTARPRESIDENCIA,N2)</f>
        <v>0</v>
      </c>
      <c r="O9" s="38">
        <f ca="1">SUMIFS(NOTASPRESIDENCIA,PERIODOPRESIDENCIA,F1,MESAREPORTARPRESIDENCIA,O2)</f>
        <v>0</v>
      </c>
      <c r="P9" s="38">
        <f ca="1">SUMIFS(NOTASPRESIDENCIA,PERIODOPRESIDENCIA,F1,MESAREPORTARPRESIDENCIA,P2)</f>
        <v>0</v>
      </c>
      <c r="Q9" s="38">
        <f ca="1">SUMIFS(NOTASPRESIDENCIA,PERIODOPRESIDENCIA,F1,MESAREPORTARPRESIDENCIA,Q2)</f>
        <v>0</v>
      </c>
      <c r="R9" s="38">
        <f ca="1">SUMIFS(NOTASPRESIDENCIA,PERIODOPRESIDENCIA,F1,MESAREPORTARPRESIDENCIA,R2)</f>
        <v>0</v>
      </c>
      <c r="S9" s="38">
        <f ca="1">SUMIFS(NOTASPRESIDENCIA,PERIODOPRESIDENCIA,F1,MESAREPORTARPRESIDENCIA,S2)</f>
        <v>0</v>
      </c>
      <c r="T9" s="40">
        <f t="shared" ca="1" si="0"/>
        <v>0</v>
      </c>
    </row>
    <row r="10" spans="1:20" ht="34">
      <c r="A10" s="53"/>
      <c r="B10" s="37" t="s">
        <v>34</v>
      </c>
      <c r="C10" s="38">
        <v>1141</v>
      </c>
      <c r="D10" s="8" t="s">
        <v>551</v>
      </c>
      <c r="E10" s="38" t="s">
        <v>286</v>
      </c>
      <c r="F10" s="38" t="s">
        <v>292</v>
      </c>
      <c r="G10" s="39">
        <f ca="1">((T10/C10)*EXT!A8)</f>
        <v>0</v>
      </c>
      <c r="H10" s="38">
        <f ca="1">SUMIFS(DISEÑOSPRESIDENCIA,PERIODOPRESIDENCIA,F1,MESAREPORTARPRESIDENCIA,H2)</f>
        <v>0</v>
      </c>
      <c r="I10" s="38">
        <f ca="1">SUMIFS(DISEÑOSPRESIDENCIA,PERIODOPRESIDENCIA,F1,MESAREPORTARPRESIDENCIA,I2)</f>
        <v>0</v>
      </c>
      <c r="J10" s="38">
        <f ca="1">SUMIFS(DISEÑOSPRESIDENCIA,PERIODOPRESIDENCIA,F1,MESAREPORTARPRESIDENCIA,J2)</f>
        <v>0</v>
      </c>
      <c r="K10" s="38">
        <f ca="1">SUMIFS(DISEÑOSPRESIDENCIA,PERIODOPRESIDENCIA,F1,MESAREPORTARPRESIDENCIA,K2)</f>
        <v>0</v>
      </c>
      <c r="L10" s="38">
        <f ca="1">SUMIFS(DISEÑOSPRESIDENCIA,PERIODOPRESIDENCIA,F1,MESAREPORTARPRESIDENCIA,L2)</f>
        <v>0</v>
      </c>
      <c r="M10" s="38">
        <f ca="1">SUMIFS(DISEÑOSPRESIDENCIA,PERIODOPRESIDENCIA,F1,MESAREPORTARPRESIDENCIA,M2)</f>
        <v>0</v>
      </c>
      <c r="N10" s="38">
        <f ca="1">SUMIFS(DISEÑOSPRESIDENCIA,PERIODOPRESIDENCIA,F1,MESAREPORTARPRESIDENCIA,N2)</f>
        <v>0</v>
      </c>
      <c r="O10" s="38">
        <f ca="1">SUMIFS(DISEÑOSPRESIDENCIA,PERIODOPRESIDENCIA,F1,MESAREPORTARPRESIDENCIA,O2)</f>
        <v>0</v>
      </c>
      <c r="P10" s="38">
        <f ca="1">SUMIFS(DISEÑOSPRESIDENCIA,PERIODOPRESIDENCIA,F1,MESAREPORTARPRESIDENCIA,P2)</f>
        <v>0</v>
      </c>
      <c r="Q10" s="38">
        <f ca="1">SUMIFS(DISEÑOSPRESIDENCIA,PERIODOPRESIDENCIA,F1,MESAREPORTARPRESIDENCIA,Q2)</f>
        <v>0</v>
      </c>
      <c r="R10" s="38">
        <f ca="1">SUMIFS(DISEÑOSPRESIDENCIA,PERIODOPRESIDENCIA,F1,MESAREPORTARPRESIDENCIA,R2)</f>
        <v>0</v>
      </c>
      <c r="S10" s="38">
        <f ca="1">SUMIFS(DISEÑOSPRESIDENCIA,PERIODOPRESIDENCIA,F1,MESAREPORTARPRESIDENCIA,S2)</f>
        <v>0</v>
      </c>
      <c r="T10" s="40">
        <f t="shared" ca="1" si="0"/>
        <v>0</v>
      </c>
    </row>
    <row r="11" spans="1:20" ht="34">
      <c r="A11" s="51"/>
      <c r="B11" s="37" t="s">
        <v>35</v>
      </c>
      <c r="C11" s="38">
        <v>1971</v>
      </c>
      <c r="D11" s="8" t="s">
        <v>552</v>
      </c>
      <c r="E11" s="38" t="s">
        <v>286</v>
      </c>
      <c r="F11" s="38" t="s">
        <v>292</v>
      </c>
      <c r="G11" s="39">
        <f ca="1">((T11/C11)*EXT!A9)</f>
        <v>0</v>
      </c>
      <c r="H11" s="38">
        <f ca="1">SUMIFS(PUBLICACIONESPRESIDENCIA,PERIODOPRESIDENCIA,F1,MESAREPORTARPRESIDENCIA,H2)</f>
        <v>0</v>
      </c>
      <c r="I11" s="38">
        <f ca="1">SUMIFS(PUBLICACIONESPRESIDENCIA,PERIODOPRESIDENCIA,F1,MESAREPORTARPRESIDENCIA,I2)</f>
        <v>0</v>
      </c>
      <c r="J11" s="38">
        <f ca="1">SUMIFS(PUBLICACIONESPRESIDENCIA,PERIODOPRESIDENCIA,F1,MESAREPORTARPRESIDENCIA,J2)</f>
        <v>0</v>
      </c>
      <c r="K11" s="38">
        <f ca="1">SUMIFS(PUBLICACIONESPRESIDENCIA,PERIODOPRESIDENCIA,F1,MESAREPORTARPRESIDENCIA,K2)</f>
        <v>0</v>
      </c>
      <c r="L11" s="38">
        <f ca="1">SUMIFS(PUBLICACIONESPRESIDENCIA,PERIODOPRESIDENCIA,F1,MESAREPORTARPRESIDENCIA,L2)</f>
        <v>0</v>
      </c>
      <c r="M11" s="38">
        <f ca="1">SUMIFS(PUBLICACIONESPRESIDENCIA,PERIODOPRESIDENCIA,F1,MESAREPORTARPRESIDENCIA,M2)</f>
        <v>0</v>
      </c>
      <c r="N11" s="38">
        <f ca="1">SUMIFS(PUBLICACIONESPRESIDENCIA,PERIODOPRESIDENCIA,F1,MESAREPORTARPRESIDENCIA,N2)</f>
        <v>0</v>
      </c>
      <c r="O11" s="38">
        <f ca="1">SUMIFS(PUBLICACIONESPRESIDENCIA,PERIODOPRESIDENCIA,F1,MESAREPORTARPRESIDENCIA,O2)</f>
        <v>0</v>
      </c>
      <c r="P11" s="38">
        <f ca="1">SUMIFS(PUBLICACIONESPRESIDENCIA,PERIODOPRESIDENCIA,F1,MESAREPORTARPRESIDENCIA,P2)</f>
        <v>0</v>
      </c>
      <c r="Q11" s="38">
        <f ca="1">SUMIFS(PUBLICACIONESPRESIDENCIA,PERIODOPRESIDENCIA,F1,MESAREPORTARPRESIDENCIA,Q2)</f>
        <v>0</v>
      </c>
      <c r="R11" s="38">
        <f ca="1">SUMIFS(PUBLICACIONESPRESIDENCIA,PERIODOPRESIDENCIA,F1,MESAREPORTARPRESIDENCIA,R2)</f>
        <v>0</v>
      </c>
      <c r="S11" s="38">
        <f ca="1">SUMIFS(PUBLICACIONESPRESIDENCIA,PERIODOPRESIDENCIA,F1,MESAREPORTARPRESIDENCIA,S2)</f>
        <v>0</v>
      </c>
      <c r="T11" s="40">
        <f t="shared" ca="1" si="0"/>
        <v>0</v>
      </c>
    </row>
    <row r="12" spans="1:20" ht="39" customHeight="1">
      <c r="A12" s="65" t="s">
        <v>36</v>
      </c>
      <c r="B12" s="37" t="s">
        <v>37</v>
      </c>
      <c r="C12" s="38">
        <v>28</v>
      </c>
      <c r="D12" s="8" t="s">
        <v>553</v>
      </c>
      <c r="E12" s="38" t="s">
        <v>286</v>
      </c>
      <c r="F12" s="8" t="s">
        <v>554</v>
      </c>
      <c r="G12" s="39">
        <f ca="1">((T12/C12)*EXT!A10)</f>
        <v>1217.8571428571429</v>
      </c>
      <c r="H12" s="38">
        <f ca="1">SUMIFS(PROGRAMASIMPLEMENTADOSPRESIDENCIA,PERIODOPRESIDENCIA,F1,MESAREPORTARPRESIDENCIA,H2)</f>
        <v>193</v>
      </c>
      <c r="I12" s="38">
        <f ca="1">SUMIFS(PROGRAMASIMPLEMENTADOSPRESIDENCIA,PERIODOPRESIDENCIA,F1,MESAREPORTARPRESIDENCIA,I2)</f>
        <v>148</v>
      </c>
      <c r="J12" s="38">
        <f ca="1">SUMIFS(PROGRAMASIMPLEMENTADOSPRESIDENCIA,PERIODOPRESIDENCIA,H2,MESAREPORTARPRESIDENCIA,J2)</f>
        <v>0</v>
      </c>
      <c r="K12" s="38">
        <f ca="1">SUMIFS(PROGRAMASIMPLEMENTADOSPRESIDENCIA,PERIODOPRESIDENCIA,F1,MESAREPORTARPRESIDENCIA,K2)</f>
        <v>0</v>
      </c>
      <c r="L12" s="38">
        <f ca="1">SUMIFS(PROGRAMASIMPLEMENTADOSPRESIDENCIA,PERIODOPRESIDENCIA,F1,MESAREPORTARPRESIDENCIA,L2)</f>
        <v>0</v>
      </c>
      <c r="M12" s="38">
        <f ca="1">SUMIFS(PROGRAMASIMPLEMENTADOSPRESIDENCIA,PERIODOPRESIDENCIA,F1,MESAREPORTARPRESIDENCIA,M2)</f>
        <v>0</v>
      </c>
      <c r="N12" s="38">
        <f ca="1">SUMIFS(PROGRAMASIMPLEMENTADOSPRESIDENCIA,PERIODOPRESIDENCIA,F1,MESAREPORTARPRESIDENCIA,N2)</f>
        <v>0</v>
      </c>
      <c r="O12" s="38">
        <f ca="1">SUMIFS(PROGRAMASIMPLEMENTADOSPRESIDENCIA,PERIODOPRESIDENCIA,F1,MESAREPORTARPRESIDENCIA,O2)</f>
        <v>0</v>
      </c>
      <c r="P12" s="38">
        <f ca="1">SUMIFS(PROGRAMASIMPLEMENTADOSPRESIDENCIA,PERIODOPRESIDENCIA,F1,MESAREPORTARPRESIDENCIA,P2)</f>
        <v>0</v>
      </c>
      <c r="Q12" s="38">
        <f ca="1">SUMIFS(PROGRAMASIMPLEMENTADOSPRESIDENCIA,PERIODOPRESIDENCIA,F1,MESAREPORTARPRESIDENCIA,Q2)</f>
        <v>0</v>
      </c>
      <c r="R12" s="38">
        <f ca="1">SUMIFS(PROGRAMASIMPLEMENTADOSPRESIDENCIA,PERIODOPRESIDENCIA,F1,MESAREPORTARPRESIDENCIA,R2)</f>
        <v>0</v>
      </c>
      <c r="S12" s="38">
        <f ca="1">SUMIFS(PROGRAMASIMPLEMENTADOSPRESIDENCIA,PERIODOPRESIDENCIA,F1,MESAREPORTARPRESIDENCIA,S2)</f>
        <v>0</v>
      </c>
      <c r="T12" s="40">
        <f t="shared" ca="1" si="0"/>
        <v>341</v>
      </c>
    </row>
    <row r="13" spans="1:20" ht="34">
      <c r="A13" s="51"/>
      <c r="B13" s="37" t="s">
        <v>38</v>
      </c>
      <c r="C13" s="38">
        <v>3097</v>
      </c>
      <c r="D13" s="8" t="s">
        <v>543</v>
      </c>
      <c r="E13" s="38" t="s">
        <v>286</v>
      </c>
      <c r="F13" s="8" t="s">
        <v>554</v>
      </c>
      <c r="G13" s="39">
        <f ca="1">((T13/C13)*EXT!A11)</f>
        <v>16.59670649015176</v>
      </c>
      <c r="H13" s="38">
        <f ca="1">SUMIFS(PERSONASBENEFICIADASPRESIDENCIA,PERIODOPRESIDENCIA,F1,MESAREPORTARPRESIDENCIA,H2)</f>
        <v>442</v>
      </c>
      <c r="I13" s="38">
        <f ca="1">SUMIFS(PERSONASBENEFICIADASPRESIDENCIA,PERIODOPRESIDENCIA,F1,MESAREPORTARPRESIDENCIA,I2)</f>
        <v>72</v>
      </c>
      <c r="J13" s="38">
        <f ca="1">SUMIFS(PERSONASBENEFICIADASPRESIDENCIA,PERIODOPRESIDENCIA,F1,MESAREPORTARPRESIDENCIA,J2)</f>
        <v>0</v>
      </c>
      <c r="K13" s="38">
        <f ca="1">SUMIFS(PERSONASBENEFICIADASPRESIDENCIA,PERIODOPRESIDENCIA,F1,MESAREPORTARPRESIDENCIA,K2)</f>
        <v>0</v>
      </c>
      <c r="L13" s="38">
        <f ca="1">SUMIFS(PERSONASBENEFICIADASPRESIDENCIA,PERIODOPRESIDENCIA,F1,MESAREPORTARPRESIDENCIA,L2)</f>
        <v>0</v>
      </c>
      <c r="M13" s="38">
        <f ca="1">SUMIFS(PERSONASBENEFICIADASPRESIDENCIA,PERIODOPRESIDENCIA,F1,MESAREPORTARPRESIDENCIA,M2)</f>
        <v>0</v>
      </c>
      <c r="N13" s="38">
        <f ca="1">SUMIFS(PERSONASBENEFICIADASPRESIDENCIA,PERIODOPRESIDENCIA,F1,MESAREPORTARPRESIDENCIA,N2)</f>
        <v>0</v>
      </c>
      <c r="O13" s="38">
        <f ca="1">SUMIFS(PERSONASBENEFICIADASPRESIDENCIA,PERIODOPRESIDENCIA,F1,MESAREPORTARPRESIDENCIA,O2)</f>
        <v>0</v>
      </c>
      <c r="P13" s="38">
        <f ca="1">SUMIFS(PERSONASBENEFICIADASPRESIDENCIA,PERIODOPRESIDENCIA,F1,MESAREPORTARPRESIDENCIA,P2)</f>
        <v>0</v>
      </c>
      <c r="Q13" s="38">
        <f ca="1">SUMIFS(PERSONASBENEFICIADASPRESIDENCIA,PERIODOPRESIDENCIA,F1,MESAREPORTARPRESIDENCIA,Q2)</f>
        <v>0</v>
      </c>
      <c r="R13" s="38">
        <f ca="1">SUMIFS(PERSONASBENEFICIADASPRESIDENCIA,PERIODOPRESIDENCIA,F1,MESAREPORTARPRESIDENCIA,R2)</f>
        <v>0</v>
      </c>
      <c r="S13" s="38">
        <f ca="1">SUMIFS(PERSONASBENEFICIADASPRESIDENCIA,PERIODOPRESIDENCIA,F1,MESAREPORTARPRESIDENCIA,S2)</f>
        <v>0</v>
      </c>
      <c r="T13" s="40">
        <f t="shared" ca="1" si="0"/>
        <v>514</v>
      </c>
    </row>
  </sheetData>
  <mergeCells count="8">
    <mergeCell ref="A7:A8"/>
    <mergeCell ref="A9:A11"/>
    <mergeCell ref="A12:A13"/>
    <mergeCell ref="B1:D1"/>
    <mergeCell ref="F1:G1"/>
    <mergeCell ref="H1:T1"/>
    <mergeCell ref="A3:A4"/>
    <mergeCell ref="A5:A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T13"/>
  <sheetViews>
    <sheetView workbookViewId="0"/>
  </sheetViews>
  <sheetFormatPr baseColWidth="10" defaultColWidth="11.1640625" defaultRowHeight="15" customHeight="1"/>
  <cols>
    <col min="1" max="1" width="26.6640625" customWidth="1"/>
    <col min="2" max="2" width="39.5" customWidth="1"/>
    <col min="3" max="3" width="10.33203125" customWidth="1"/>
    <col min="4" max="4" width="22.33203125" customWidth="1"/>
    <col min="5" max="5" width="15.6640625" customWidth="1"/>
    <col min="6" max="6" width="24.1640625" customWidth="1"/>
    <col min="7" max="7" width="13.6640625" customWidth="1"/>
    <col min="19" max="19" width="12.5" customWidth="1"/>
    <col min="20" max="20" width="16.1640625" customWidth="1"/>
  </cols>
  <sheetData>
    <row r="1" spans="1:20" ht="42.75" customHeight="1">
      <c r="A1" s="35" t="s">
        <v>535</v>
      </c>
      <c r="B1" s="60" t="s">
        <v>24</v>
      </c>
      <c r="C1" s="57"/>
      <c r="D1" s="58"/>
      <c r="E1" s="35" t="s">
        <v>536</v>
      </c>
      <c r="F1" s="63" t="s">
        <v>539</v>
      </c>
      <c r="G1" s="64"/>
      <c r="H1" s="62" t="s">
        <v>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8"/>
    </row>
    <row r="2" spans="1:20" ht="34">
      <c r="A2" s="2" t="s">
        <v>4</v>
      </c>
      <c r="B2" s="3" t="s">
        <v>5</v>
      </c>
      <c r="C2" s="3" t="s">
        <v>6</v>
      </c>
      <c r="D2" s="3" t="s">
        <v>7</v>
      </c>
      <c r="E2" s="2" t="s">
        <v>8</v>
      </c>
      <c r="F2" s="3" t="s">
        <v>9</v>
      </c>
      <c r="G2" s="3" t="s">
        <v>10</v>
      </c>
      <c r="H2" s="3" t="s">
        <v>11</v>
      </c>
      <c r="I2" s="5" t="s">
        <v>12</v>
      </c>
      <c r="J2" s="5" t="s">
        <v>13</v>
      </c>
      <c r="K2" s="5" t="s">
        <v>540</v>
      </c>
      <c r="L2" s="6" t="s">
        <v>15</v>
      </c>
      <c r="M2" s="6" t="s">
        <v>16</v>
      </c>
      <c r="N2" s="6" t="s">
        <v>17</v>
      </c>
      <c r="O2" s="6" t="s">
        <v>18</v>
      </c>
      <c r="P2" s="6" t="s">
        <v>19</v>
      </c>
      <c r="Q2" s="6" t="s">
        <v>20</v>
      </c>
      <c r="R2" s="6" t="s">
        <v>21</v>
      </c>
      <c r="S2" s="6" t="s">
        <v>22</v>
      </c>
      <c r="T2" s="2" t="s">
        <v>23</v>
      </c>
    </row>
    <row r="3" spans="1:20" ht="36" customHeight="1">
      <c r="A3" s="65" t="s">
        <v>24</v>
      </c>
      <c r="B3" s="37" t="s">
        <v>25</v>
      </c>
      <c r="C3" s="38">
        <v>180</v>
      </c>
      <c r="D3" s="8" t="s">
        <v>541</v>
      </c>
      <c r="E3" s="38" t="s">
        <v>286</v>
      </c>
      <c r="F3" s="38" t="s">
        <v>287</v>
      </c>
      <c r="G3" s="39">
        <f ca="1">((T3/C3)*EXT!A1)</f>
        <v>0</v>
      </c>
      <c r="H3" s="38">
        <f ca="1">SUMIFS(CITASPRESIDENCIA,PERIODOPRESIDENCIA,F1,MESAREPORTARPRESIDENCIA,H2)</f>
        <v>0</v>
      </c>
      <c r="I3" s="38">
        <f ca="1">SUMIFS(CITASPRESIDENCIA,PERIODOPRESIDENCIA,F1,MESAREPORTARPRESIDENCIA,I2)</f>
        <v>0</v>
      </c>
      <c r="J3" s="38">
        <f ca="1">SUMIFS(CITASPRESIDENCIA,PERIODOPRESIDENCIA,F1,MESAREPORTARPRESIDENCIA,J2)</f>
        <v>0</v>
      </c>
      <c r="K3" s="38">
        <f ca="1">SUMIFS(CITASPRESIDENCIA,PERIODOPRESIDENCIA,F1,MESAREPORTARPRESIDENCIA,K2)</f>
        <v>0</v>
      </c>
      <c r="L3" s="38">
        <f ca="1">SUMIFS(CITASPRESIDENCIA,PERIODOPRESIDENCIA,F1,MESAREPORTARPRESIDENCIA,L2)</f>
        <v>0</v>
      </c>
      <c r="M3" s="38">
        <f ca="1">SUMIFS(CITASPRESIDENCIA,PERIODOPRESIDENCIA,F1,MESAREPORTARPRESIDENCIA,M2)</f>
        <v>0</v>
      </c>
      <c r="N3" s="38">
        <f ca="1">SUMIFS(CITASPRESIDENCIA,PERIODOPRESIDENCIA,F1,MESAREPORTARPRESIDENCIA,N2)</f>
        <v>0</v>
      </c>
      <c r="O3" s="38">
        <f ca="1">SUMIFS(CITASPRESIDENCIA,PERIODOPRESIDENCIA,F1,MESAREPORTARPRESIDENCIA,O2)</f>
        <v>0</v>
      </c>
      <c r="P3" s="38">
        <f ca="1">SUMIFS(CITASPRESIDENCIA,PERIODOPRESIDENCIA,F1,MESAREPORTARPRESIDENCIA,P2)</f>
        <v>0</v>
      </c>
      <c r="Q3" s="38">
        <f ca="1">SUMIFS(CITASPRESIDENCIA,PERIODOPRESIDENCIA,F1,MESAREPORTARPRESIDENCIA,Q2)</f>
        <v>0</v>
      </c>
      <c r="R3" s="38">
        <f ca="1">SUMIFS(CITASPRESIDENCIA,PERIODOPRESIDENCIA,F1,MESAREPORTARPRESIDENCIA,R2)</f>
        <v>0</v>
      </c>
      <c r="S3" s="38">
        <f ca="1">SUMIFS(CITASPRESIDENCIA,PERIODOPRESIDENCIA,F1,MESAREPORTARPRESIDENCIA,S2)</f>
        <v>0</v>
      </c>
      <c r="T3" s="40">
        <f t="shared" ref="T3:T13" ca="1" si="0">SUM(H3:S3)</f>
        <v>0</v>
      </c>
    </row>
    <row r="4" spans="1:20" ht="36" customHeight="1">
      <c r="A4" s="51"/>
      <c r="B4" s="37" t="s">
        <v>26</v>
      </c>
      <c r="C4" s="38">
        <v>780</v>
      </c>
      <c r="D4" s="8" t="s">
        <v>542</v>
      </c>
      <c r="E4" s="38" t="s">
        <v>286</v>
      </c>
      <c r="F4" s="38" t="s">
        <v>287</v>
      </c>
      <c r="G4" s="39">
        <f ca="1">((T4/C4)*EXT!A2)</f>
        <v>0</v>
      </c>
      <c r="H4" s="38">
        <f ca="1">SUMIFS(PERSONASATENDIDASPRESIDENCIA,PERIODOPRESIDENCIA,F1,MESAREPORTARPRESIDENCIA,H2)</f>
        <v>0</v>
      </c>
      <c r="I4" s="38">
        <f ca="1">SUMIFS(PERSONASATENDIDASPRESIDENCIA,PERIODOPRESIDENCIA,F1,MESAREPORTARPRESIDENCIA,I2)</f>
        <v>0</v>
      </c>
      <c r="J4" s="38">
        <f ca="1">SUMIFS(PERSONASATENDIDASPRESIDENCIA,PERIODOPRESIDENCIA,F1,MESAREPORTARPRESIDENCIA,J2)</f>
        <v>0</v>
      </c>
      <c r="K4" s="38">
        <f ca="1">SUMIFS(PERSONASATENDIDASPRESIDENCIA,PERIODOPRESIDENCIA,F1,MESAREPORTARPRESIDENCIA,K2)</f>
        <v>0</v>
      </c>
      <c r="L4" s="38">
        <f ca="1">SUMIFS(PERSONASATENDIDASPRESIDENCIA,PERIODOPRESIDENCIA,F1,MESAREPORTARPRESIDENCIA,L2)</f>
        <v>0</v>
      </c>
      <c r="M4" s="38">
        <f ca="1">SUMIFS(PERSONASATENDIDASPRESIDENCIA,PERIODOPRESIDENCIA,H1,MESAREPORTARPRESIDENCIA,M2)</f>
        <v>0</v>
      </c>
      <c r="N4" s="38">
        <f ca="1">SUMIFS(PERSONASATENDIDASPRESIDENCIA,PERIODOPRESIDENCIA,F1,MESAREPORTARPRESIDENCIA,N2)</f>
        <v>0</v>
      </c>
      <c r="O4" s="38">
        <f ca="1">SUMIFS(PERSONASATENDIDASPRESIDENCIA,PERIODOPRESIDENCIA,F1,MESAREPORTARPRESIDENCIA,O2)</f>
        <v>0</v>
      </c>
      <c r="P4" s="38">
        <f ca="1">SUMIFS(PERSONASATENDIDASPRESIDENCIA,PERIODOPRESIDENCIA,F1,MESAREPORTARPRESIDENCIA,P2)</f>
        <v>0</v>
      </c>
      <c r="Q4" s="38">
        <f ca="1">SUMIFS(PERSONASATENDIDASPRESIDENCIA,PERIODOPRESIDENCIA,F1,MESAREPORTARPRESIDENCIA,Q2)</f>
        <v>0</v>
      </c>
      <c r="R4" s="38">
        <f ca="1">SUMIFS(PERSONASATENDIDASPRESIDENCIA,PERIODOPRESIDENCIA,F1,MESAREPORTARPRESIDENCIA,R2)</f>
        <v>0</v>
      </c>
      <c r="S4" s="38">
        <f ca="1">SUMIFS(PERSONASATENDIDASPRESIDENCIA,PERIODOPRESIDENCIA,F1,MESAREPORTARPRESIDENCIA,S2)</f>
        <v>0</v>
      </c>
      <c r="T4" s="40">
        <f t="shared" ca="1" si="0"/>
        <v>0</v>
      </c>
    </row>
    <row r="5" spans="1:20" ht="36.75" customHeight="1">
      <c r="A5" s="65" t="s">
        <v>27</v>
      </c>
      <c r="B5" s="37" t="s">
        <v>26</v>
      </c>
      <c r="C5" s="38">
        <v>780</v>
      </c>
      <c r="D5" s="8" t="s">
        <v>543</v>
      </c>
      <c r="E5" s="38" t="s">
        <v>286</v>
      </c>
      <c r="F5" s="38" t="s">
        <v>287</v>
      </c>
      <c r="G5" s="39">
        <f ca="1">((T5/C5)*EXT!A3)</f>
        <v>0</v>
      </c>
      <c r="H5" s="38">
        <f ca="1">SUMIFS(PERSONASPRESIDENCIA,PERIODOPRESIDENCIA,F1,MESAREPORTARPRESIDENCIA,H2)</f>
        <v>0</v>
      </c>
      <c r="I5" s="38">
        <f ca="1">SUMIFS(PERSONASPRESIDENCIA,PERIODOPRESIDENCIA,F1,MESAREPORTARPRESIDENCIA,I2)</f>
        <v>0</v>
      </c>
      <c r="J5" s="38">
        <f ca="1">SUMIFS(PERSONASPRESIDENCIA,PERIODOPRESIDENCIA,H1,MESAREPORTARPRESIDENCIA,J2)</f>
        <v>0</v>
      </c>
      <c r="K5" s="38">
        <f ca="1">SUMIFS(PERSONASPRESIDENCIA,PERIODOPRESIDENCIA,F1,MESAREPORTARPRESIDENCIA,K2)</f>
        <v>0</v>
      </c>
      <c r="L5" s="38">
        <f ca="1">SUMIFS(PERSONASPRESIDENCIA,PERIODOPRESIDENCIA,F1,MESAREPORTARPRESIDENCIA,L2)</f>
        <v>0</v>
      </c>
      <c r="M5" s="38">
        <f ca="1">SUMIFS(PERSONASPRESIDENCIA,PERIODOPRESIDENCIA,H1,MESAREPORTARPRESIDENCIA,M2)</f>
        <v>0</v>
      </c>
      <c r="N5" s="38">
        <f ca="1">SUMIFS(PERSONASPRESIDENCIA,PERIODOPRESIDENCIA,F1,MESAREPORTARPRESIDENCIA,N2)</f>
        <v>0</v>
      </c>
      <c r="O5" s="38">
        <f ca="1">SUMIFS(PERSONASPRESIDENCIA,PERIODOPRESIDENCIA,F1,MESAREPORTARPRESIDENCIA,O2)</f>
        <v>0</v>
      </c>
      <c r="P5" s="38">
        <f ca="1">SUMIFS(PERSONASPRESIDENCIA,PERIODOPRESIDENCIA,F1,MESAREPORTARPRESIDENCIA,P2)</f>
        <v>0</v>
      </c>
      <c r="Q5" s="38">
        <f ca="1">SUMIFS(PERSONASPRESIDENCIA,PERIODOPRESIDENCIA,F1,MESAREPORTARPRESIDENCIA,Q2)</f>
        <v>0</v>
      </c>
      <c r="R5" s="38">
        <f ca="1">SUMIFS(PERSONASPRESIDENCIA,PERIODOPRESIDENCIA,F1,MESAREPORTARPRESIDENCIA,R2)</f>
        <v>0</v>
      </c>
      <c r="S5" s="38">
        <f ca="1">SUMIFS(PERSONASPRESIDENCIA,PERIODOPRESIDENCIA,F1,MESAREPORTARPRESIDENCIA,S2)</f>
        <v>0</v>
      </c>
      <c r="T5" s="40">
        <f t="shared" ca="1" si="0"/>
        <v>0</v>
      </c>
    </row>
    <row r="6" spans="1:20" ht="33.75" customHeight="1">
      <c r="A6" s="51"/>
      <c r="B6" s="37" t="s">
        <v>28</v>
      </c>
      <c r="C6" s="38">
        <v>100</v>
      </c>
      <c r="D6" s="8" t="s">
        <v>544</v>
      </c>
      <c r="E6" s="38" t="s">
        <v>286</v>
      </c>
      <c r="F6" s="38" t="s">
        <v>545</v>
      </c>
      <c r="G6" s="39">
        <f ca="1">((T6/C6)*EXT!A4)</f>
        <v>0</v>
      </c>
      <c r="H6" s="38">
        <f ca="1">SUMIFS(ACUERDOSPRESIDENCIA,PERIODOPRESIDENCIA,F1,MESAREPORTARPRESIDENCIA,H2)</f>
        <v>0</v>
      </c>
      <c r="I6" s="38">
        <f ca="1">SUMIFS(ACUERDOSPRESIDENCIA,PERIODOPRESIDENCIA,F1,MESAREPORTARPRESIDENCIA,I2)</f>
        <v>0</v>
      </c>
      <c r="J6" s="38">
        <f ca="1">SUMIFS(ACUERDOSPRESIDENCIA,PERIODOPRESIDENCIA,F1,MESAREPORTARPRESIDENCIA,J2)</f>
        <v>0</v>
      </c>
      <c r="K6" s="38">
        <f ca="1">SUMIFS(ACUERDOSPRESIDENCIA,PERIODOPRESIDENCIA,F1,MESAREPORTARPRESIDENCIA,K2)</f>
        <v>0</v>
      </c>
      <c r="L6" s="38">
        <f ca="1">SUMIFS(ACUERDOSPRESIDENCIA,PERIODOPRESIDENCIA,F1,MESAREPORTARPRESIDENCIA,L2)</f>
        <v>0</v>
      </c>
      <c r="M6" s="38">
        <f ca="1">SUMIFS(ACUERDOSPRESIDENCIA,PERIODOPRESIDENCIA,F1,MESAREPORTARPRESIDENCIA,M2)</f>
        <v>0</v>
      </c>
      <c r="N6" s="38">
        <f ca="1">SUMIFS(ACUERDOSPRESIDENCIA,PERIODOPRESIDENCIA,F1,MESAREPORTARPRESIDENCIA,N2)</f>
        <v>0</v>
      </c>
      <c r="O6" s="38">
        <f ca="1">SUMIFS(ACUERDOSPRESIDENCIA,PERIODOPRESIDENCIA,F1,MESAREPORTARPRESIDENCIA,O2)</f>
        <v>0</v>
      </c>
      <c r="P6" s="38">
        <f ca="1">SUMIFS(ACUERDOSPRESIDENCIA,PERIODOPRESIDENCIA,F1,MESAREPORTARPRESIDENCIA,P2)</f>
        <v>0</v>
      </c>
      <c r="Q6" s="38">
        <f ca="1">SUMIFS(ACUERDOSPRESIDENCIA,PERIODOPRESIDENCIA,F1,MESAREPORTARPRESIDENCIA,Q2)</f>
        <v>0</v>
      </c>
      <c r="R6" s="38">
        <f ca="1">SUMIFS(ACUERDOSPRESIDENCIA,PERIODOPRESIDENCIA,F1,MESAREPORTARPRESIDENCIA,R2)</f>
        <v>0</v>
      </c>
      <c r="S6" s="38">
        <f ca="1">SUMIFS(ACUERDOSPRESIDENCIA,PERIODOPRESIDENCIA,F1,MESAREPORTARPRESIDENCIA,S2)</f>
        <v>0</v>
      </c>
      <c r="T6" s="40">
        <f t="shared" ca="1" si="0"/>
        <v>0</v>
      </c>
    </row>
    <row r="7" spans="1:20" ht="34.5" customHeight="1">
      <c r="A7" s="65" t="s">
        <v>29</v>
      </c>
      <c r="B7" s="37" t="s">
        <v>30</v>
      </c>
      <c r="C7" s="38">
        <v>350</v>
      </c>
      <c r="D7" s="8" t="s">
        <v>546</v>
      </c>
      <c r="E7" s="38" t="s">
        <v>286</v>
      </c>
      <c r="F7" s="38" t="s">
        <v>547</v>
      </c>
      <c r="G7" s="39">
        <f ca="1">((T7/C7)*EXT!A5)</f>
        <v>0</v>
      </c>
      <c r="H7" s="38">
        <f ca="1">SUMIFS(SOLICITUDESPRESIDENCIA,PERIODOPRESIDENCIA,F1,MESAREPORTARPRESIDENCIA,H2)</f>
        <v>0</v>
      </c>
      <c r="I7" s="38">
        <f ca="1">SUMIFS(SOLICITUDESPRESIDENCIA,PERIODOPRESIDENCIA,F1,MESAREPORTARPRESIDENCIA,I2)</f>
        <v>0</v>
      </c>
      <c r="J7" s="38">
        <f ca="1">SUMIFS(SOLICITUDESPRESIDENCIA,PERIODOPRESIDENCIA,F1,MESAREPORTARPRESIDENCIA,J2)</f>
        <v>0</v>
      </c>
      <c r="K7" s="38">
        <f ca="1">SUMIFS(SOLICITUDESPRESIDENCIA,PERIODOPRESIDENCIA,F1,MESAREPORTARPRESIDENCIA,K2)</f>
        <v>0</v>
      </c>
      <c r="L7" s="38">
        <f ca="1">SUMIFS(SOLICITUDESPRESIDENCIA,PERIODOPRESIDENCIA,F1,MESAREPORTARPRESIDENCIA,L2)</f>
        <v>0</v>
      </c>
      <c r="M7" s="38">
        <f ca="1">SUMIFS(SOLICITUDESPRESIDENCIA,PERIODOPRESIDENCIA,F1,MESAREPORTARPRESIDENCIA,M2)</f>
        <v>0</v>
      </c>
      <c r="N7" s="38">
        <f ca="1">SUMIFS(SOLICITUDESPRESIDENCIA,PERIODOPRESIDENCIA,F1,MESAREPORTARPRESIDENCIA,N2)</f>
        <v>0</v>
      </c>
      <c r="O7" s="38">
        <f ca="1">SUMIFS(SOLICITUDESPRESIDENCIA,PERIODOPRESIDENCIA,F1,MESAREPORTARPRESIDENCIA,O2)</f>
        <v>0</v>
      </c>
      <c r="P7" s="38">
        <f ca="1">SUMIFS(SOLICITUDESPRESIDENCIA,PERIODOPRESIDENCIA,F1,MESAREPORTARPRESIDENCIA,P2)</f>
        <v>0</v>
      </c>
      <c r="Q7" s="38">
        <f ca="1">SUMIFS(SOLICITUDESPRESIDENCIA,PERIODOPRESIDENCIA,F1,MESAREPORTARPRESIDENCIA,Q2)</f>
        <v>0</v>
      </c>
      <c r="R7" s="38">
        <f ca="1">SUMIFS(SOLICITUDESPRESIDENCIA,PERIODOPRESIDENCIA,F1,MESAREPORTARPRESIDENCIA,R2)</f>
        <v>0</v>
      </c>
      <c r="S7" s="38">
        <f ca="1">SUMIFS(SOLICITUDESPRESIDENCIA,PERIODOPRESIDENCIA,F1,MESAREPORTARPRESIDENCIA,S2)</f>
        <v>0</v>
      </c>
      <c r="T7" s="40">
        <f t="shared" ca="1" si="0"/>
        <v>0</v>
      </c>
    </row>
    <row r="8" spans="1:20" ht="33" customHeight="1">
      <c r="A8" s="51"/>
      <c r="B8" s="37" t="s">
        <v>31</v>
      </c>
      <c r="C8" s="38">
        <v>12</v>
      </c>
      <c r="D8" s="8" t="s">
        <v>548</v>
      </c>
      <c r="E8" s="38" t="s">
        <v>286</v>
      </c>
      <c r="F8" s="8" t="s">
        <v>549</v>
      </c>
      <c r="G8" s="39">
        <f ca="1">((T8/C8)*EXT!A6)</f>
        <v>0</v>
      </c>
      <c r="H8" s="38">
        <f ca="1">SUMIFS(CAPACITACIONESPRESIDENCIA,PERIODOPRESIDENCIA,F1,MESAREPORTARPRESIDENCIA,H2)</f>
        <v>0</v>
      </c>
      <c r="I8" s="38">
        <f ca="1">SUMIFS(CAPACITACIONESPRESIDENCIA,PERIODOPRESIDENCIA,F1,MESAREPORTARPRESIDENCIA,I2)</f>
        <v>0</v>
      </c>
      <c r="J8" s="38">
        <f ca="1">SUMIFS(CAPACITACIONESPRESIDENCIA,PERIODOPRESIDENCIA,H1,MESAREPORTARPRESIDENCIA,J2)</f>
        <v>0</v>
      </c>
      <c r="K8" s="38">
        <f ca="1">SUMIFS(CAPACITACIONESPRESIDENCIA,PERIODOPRESIDENCIA,F1,MESAREPORTARPRESIDENCIA,K2)</f>
        <v>0</v>
      </c>
      <c r="L8" s="38">
        <f ca="1">SUMIFS(CAPACITACIONESPRESIDENCIA,PERIODOPRESIDENCIA,F1,MESAREPORTARPRESIDENCIA,L2)</f>
        <v>0</v>
      </c>
      <c r="M8" s="38">
        <f ca="1">SUMIFS(CAPACITACIONESPRESIDENCIA,PERIODOPRESIDENCIA,F1,MESAREPORTARPRESIDENCIA,M2)</f>
        <v>0</v>
      </c>
      <c r="N8" s="38">
        <f ca="1">SUMIFS(CAPACITACIONESPRESIDENCIA,PERIODOPRESIDENCIA,F1,MESAREPORTARPRESIDENCIA,N2)</f>
        <v>0</v>
      </c>
      <c r="O8" s="38">
        <f ca="1">SUMIFS(CAPACITACIONESPRESIDENCIA,PERIODOPRESIDENCIA,F1,MESAREPORTARPRESIDENCIA,O2)</f>
        <v>0</v>
      </c>
      <c r="P8" s="38">
        <f ca="1">SUMIFS(CAPACITACIONESPRESIDENCIA,PERIODOPRESIDENCIA,F1,MESAREPORTARPRESIDENCIA,P2)</f>
        <v>0</v>
      </c>
      <c r="Q8" s="38">
        <f ca="1">SUMIFS(CAPACITACIONESPRESIDENCIA,PERIODOPRESIDENCIA,F1,MESAREPORTARPRESIDENCIA,Q2)</f>
        <v>0</v>
      </c>
      <c r="R8" s="38">
        <f ca="1">SUMIFS(CAPACITACIONESPRESIDENCIA,PERIODOPRESIDENCIA,F1,MESAREPORTARPRESIDENCIA,R2)</f>
        <v>0</v>
      </c>
      <c r="S8" s="38">
        <f ca="1">SUMIFS(CAPACITACIONESPRESIDENCIA,PERIODOPRESIDENCIA,F1,MESAREPORTARPRESIDENCIA,S2)</f>
        <v>0</v>
      </c>
      <c r="T8" s="40">
        <f t="shared" ca="1" si="0"/>
        <v>0</v>
      </c>
    </row>
    <row r="9" spans="1:20" ht="34">
      <c r="A9" s="65" t="s">
        <v>32</v>
      </c>
      <c r="B9" s="37" t="s">
        <v>33</v>
      </c>
      <c r="C9" s="38">
        <v>520</v>
      </c>
      <c r="D9" s="8" t="s">
        <v>550</v>
      </c>
      <c r="E9" s="38" t="s">
        <v>286</v>
      </c>
      <c r="F9" s="38" t="s">
        <v>292</v>
      </c>
      <c r="G9" s="39">
        <f ca="1">((T9/C9)*EXT!A7)</f>
        <v>0</v>
      </c>
      <c r="H9" s="38">
        <f ca="1">SUMIFS(NOTASPRESIDENCIA,PERIODOPRESIDENCIA,F1,MESAREPORTARPRESIDENCIA,H2)</f>
        <v>0</v>
      </c>
      <c r="I9" s="38">
        <f ca="1">SUMIFS(NOTASPRESIDENCIA,PERIODOPRESIDENCIA,F1,MESAREPORTARPRESIDENCIA,I2)</f>
        <v>0</v>
      </c>
      <c r="J9" s="38">
        <f ca="1">SUMIFS(NOTASPRESIDENCIA,PERIODOPRESIDENCIA,F1,MESAREPORTARPRESIDENCIA,J2)</f>
        <v>0</v>
      </c>
      <c r="K9" s="38">
        <f ca="1">SUMIFS(NOTASPRESIDENCIA,PERIODOPRESIDENCIA,F1,MESAREPORTARPRESIDENCIA,K2)</f>
        <v>0</v>
      </c>
      <c r="L9" s="38">
        <f ca="1">SUMIFS(NOTASPRESIDENCIA,PERIODOPRESIDENCIA,F1,MESAREPORTARPRESIDENCIA,L2)</f>
        <v>0</v>
      </c>
      <c r="M9" s="38">
        <f ca="1">SUMIFS(NOTASPRESIDENCIA,PERIODOPRESIDENCIA,F1,MESAREPORTARPRESIDENCIA,M2)</f>
        <v>0</v>
      </c>
      <c r="N9" s="38">
        <f ca="1">SUMIFS(NOTASPRESIDENCIA,PERIODOPRESIDENCIA,F1,MESAREPORTARPRESIDENCIA,N2)</f>
        <v>0</v>
      </c>
      <c r="O9" s="38">
        <f ca="1">SUMIFS(NOTASPRESIDENCIA,PERIODOPRESIDENCIA,F1,MESAREPORTARPRESIDENCIA,O2)</f>
        <v>0</v>
      </c>
      <c r="P9" s="38">
        <f ca="1">SUMIFS(NOTASPRESIDENCIA,PERIODOPRESIDENCIA,F1,MESAREPORTARPRESIDENCIA,P2)</f>
        <v>0</v>
      </c>
      <c r="Q9" s="38">
        <f ca="1">SUMIFS(NOTASPRESIDENCIA,PERIODOPRESIDENCIA,F1,MESAREPORTARPRESIDENCIA,Q2)</f>
        <v>0</v>
      </c>
      <c r="R9" s="38">
        <f ca="1">SUMIFS(NOTASPRESIDENCIA,PERIODOPRESIDENCIA,F1,MESAREPORTARPRESIDENCIA,R2)</f>
        <v>0</v>
      </c>
      <c r="S9" s="38">
        <f ca="1">SUMIFS(NOTASPRESIDENCIA,PERIODOPRESIDENCIA,F1,MESAREPORTARPRESIDENCIA,S2)</f>
        <v>0</v>
      </c>
      <c r="T9" s="40">
        <f t="shared" ca="1" si="0"/>
        <v>0</v>
      </c>
    </row>
    <row r="10" spans="1:20" ht="34">
      <c r="A10" s="53"/>
      <c r="B10" s="37" t="s">
        <v>34</v>
      </c>
      <c r="C10" s="38">
        <v>500</v>
      </c>
      <c r="D10" s="8" t="s">
        <v>551</v>
      </c>
      <c r="E10" s="38" t="s">
        <v>286</v>
      </c>
      <c r="F10" s="38" t="s">
        <v>292</v>
      </c>
      <c r="G10" s="39">
        <f ca="1">((T10/C10)*EXT!A8)</f>
        <v>0</v>
      </c>
      <c r="H10" s="38">
        <f ca="1">SUMIFS(DISEÑOSPRESIDENCIA,PERIODOPRESIDENCIA,F1,MESAREPORTARPRESIDENCIA,H2)</f>
        <v>0</v>
      </c>
      <c r="I10" s="38">
        <f ca="1">SUMIFS(DISEÑOSPRESIDENCIA,PERIODOPRESIDENCIA,F1,MESAREPORTARPRESIDENCIA,I2)</f>
        <v>0</v>
      </c>
      <c r="J10" s="38">
        <f ca="1">SUMIFS(DISEÑOSPRESIDENCIA,PERIODOPRESIDENCIA,F1,MESAREPORTARPRESIDENCIA,J2)</f>
        <v>0</v>
      </c>
      <c r="K10" s="38">
        <f ca="1">SUMIFS(DISEÑOSPRESIDENCIA,PERIODOPRESIDENCIA,F1,MESAREPORTARPRESIDENCIA,K2)</f>
        <v>0</v>
      </c>
      <c r="L10" s="38">
        <f ca="1">SUMIFS(DISEÑOSPRESIDENCIA,PERIODOPRESIDENCIA,F1,MESAREPORTARPRESIDENCIA,L2)</f>
        <v>0</v>
      </c>
      <c r="M10" s="38">
        <f ca="1">SUMIFS(DISEÑOSPRESIDENCIA,PERIODOPRESIDENCIA,F1,MESAREPORTARPRESIDENCIA,M2)</f>
        <v>0</v>
      </c>
      <c r="N10" s="38">
        <f ca="1">SUMIFS(DISEÑOSPRESIDENCIA,PERIODOPRESIDENCIA,F1,MESAREPORTARPRESIDENCIA,N2)</f>
        <v>0</v>
      </c>
      <c r="O10" s="38">
        <f ca="1">SUMIFS(DISEÑOSPRESIDENCIA,PERIODOPRESIDENCIA,F1,MESAREPORTARPRESIDENCIA,O2)</f>
        <v>0</v>
      </c>
      <c r="P10" s="38">
        <f ca="1">SUMIFS(DISEÑOSPRESIDENCIA,PERIODOPRESIDENCIA,F1,MESAREPORTARPRESIDENCIA,P2)</f>
        <v>0</v>
      </c>
      <c r="Q10" s="38">
        <f ca="1">SUMIFS(DISEÑOSPRESIDENCIA,PERIODOPRESIDENCIA,F1,MESAREPORTARPRESIDENCIA,Q2)</f>
        <v>0</v>
      </c>
      <c r="R10" s="38">
        <f ca="1">SUMIFS(DISEÑOSPRESIDENCIA,PERIODOPRESIDENCIA,F1,MESAREPORTARPRESIDENCIA,R2)</f>
        <v>0</v>
      </c>
      <c r="S10" s="38">
        <f ca="1">SUMIFS(DISEÑOSPRESIDENCIA,PERIODOPRESIDENCIA,F1,MESAREPORTARPRESIDENCIA,S2)</f>
        <v>0</v>
      </c>
      <c r="T10" s="40">
        <f t="shared" ca="1" si="0"/>
        <v>0</v>
      </c>
    </row>
    <row r="11" spans="1:20" ht="34">
      <c r="A11" s="51"/>
      <c r="B11" s="37" t="s">
        <v>35</v>
      </c>
      <c r="C11" s="38">
        <v>320</v>
      </c>
      <c r="D11" s="8" t="s">
        <v>552</v>
      </c>
      <c r="E11" s="38" t="s">
        <v>286</v>
      </c>
      <c r="F11" s="38" t="s">
        <v>292</v>
      </c>
      <c r="G11" s="39">
        <f ca="1">((T11/C11)*EXT!A9)</f>
        <v>0</v>
      </c>
      <c r="H11" s="38">
        <f ca="1">SUMIFS(PUBLICACIONESPRESIDENCIA,PERIODOPRESIDENCIA,F1,MESAREPORTARPRESIDENCIA,H2)</f>
        <v>0</v>
      </c>
      <c r="I11" s="38">
        <f ca="1">SUMIFS(PUBLICACIONESPRESIDENCIA,PERIODOPRESIDENCIA,F1,MESAREPORTARPRESIDENCIA,I2)</f>
        <v>0</v>
      </c>
      <c r="J11" s="38">
        <f ca="1">SUMIFS(PUBLICACIONESPRESIDENCIA,PERIODOPRESIDENCIA,F1,MESAREPORTARPRESIDENCIA,J2)</f>
        <v>0</v>
      </c>
      <c r="K11" s="38">
        <f ca="1">SUMIFS(PUBLICACIONESPRESIDENCIA,PERIODOPRESIDENCIA,F1,MESAREPORTARPRESIDENCIA,K2)</f>
        <v>0</v>
      </c>
      <c r="L11" s="38">
        <f ca="1">SUMIFS(PUBLICACIONESPRESIDENCIA,PERIODOPRESIDENCIA,F1,MESAREPORTARPRESIDENCIA,L2)</f>
        <v>0</v>
      </c>
      <c r="M11" s="38">
        <f ca="1">SUMIFS(PUBLICACIONESPRESIDENCIA,PERIODOPRESIDENCIA,F1,MESAREPORTARPRESIDENCIA,M2)</f>
        <v>0</v>
      </c>
      <c r="N11" s="38">
        <f ca="1">SUMIFS(PUBLICACIONESPRESIDENCIA,PERIODOPRESIDENCIA,F1,MESAREPORTARPRESIDENCIA,N2)</f>
        <v>0</v>
      </c>
      <c r="O11" s="38">
        <f ca="1">SUMIFS(PUBLICACIONESPRESIDENCIA,PERIODOPRESIDENCIA,F1,MESAREPORTARPRESIDENCIA,O2)</f>
        <v>0</v>
      </c>
      <c r="P11" s="38">
        <f ca="1">SUMIFS(PUBLICACIONESPRESIDENCIA,PERIODOPRESIDENCIA,F1,MESAREPORTARPRESIDENCIA,P2)</f>
        <v>0</v>
      </c>
      <c r="Q11" s="38">
        <f ca="1">SUMIFS(PUBLICACIONESPRESIDENCIA,PERIODOPRESIDENCIA,F1,MESAREPORTARPRESIDENCIA,Q2)</f>
        <v>0</v>
      </c>
      <c r="R11" s="38">
        <f ca="1">SUMIFS(PUBLICACIONESPRESIDENCIA,PERIODOPRESIDENCIA,F1,MESAREPORTARPRESIDENCIA,R2)</f>
        <v>0</v>
      </c>
      <c r="S11" s="38">
        <f ca="1">SUMIFS(PUBLICACIONESPRESIDENCIA,PERIODOPRESIDENCIA,F1,MESAREPORTARPRESIDENCIA,S2)</f>
        <v>0</v>
      </c>
      <c r="T11" s="40">
        <f t="shared" ca="1" si="0"/>
        <v>0</v>
      </c>
    </row>
    <row r="12" spans="1:20" ht="39" customHeight="1">
      <c r="A12" s="65" t="s">
        <v>36</v>
      </c>
      <c r="B12" s="37" t="s">
        <v>37</v>
      </c>
      <c r="C12" s="38">
        <v>14</v>
      </c>
      <c r="D12" s="8" t="s">
        <v>553</v>
      </c>
      <c r="E12" s="38" t="s">
        <v>286</v>
      </c>
      <c r="F12" s="8" t="s">
        <v>554</v>
      </c>
      <c r="G12" s="39">
        <f ca="1">((T12/C12)*EXT!A10)</f>
        <v>0</v>
      </c>
      <c r="H12" s="38">
        <f ca="1">SUMIFS(PROGRAMASIMPLEMENTADOSPRESIDENCIA,PERIODOPRESIDENCIA,F1,MESAREPORTARPRESIDENCIA,H2)</f>
        <v>0</v>
      </c>
      <c r="I12" s="38">
        <f ca="1">SUMIFS(PROGRAMASIMPLEMENTADOSPRESIDENCIA,PERIODOPRESIDENCIA,F1,MESAREPORTARPRESIDENCIA,I2)</f>
        <v>0</v>
      </c>
      <c r="J12" s="38">
        <f ca="1">SUMIFS(PROGRAMASIMPLEMENTADOSPRESIDENCIA,PERIODOPRESIDENCIA,H2,MESAREPORTARPRESIDENCIA,J2)</f>
        <v>0</v>
      </c>
      <c r="K12" s="38">
        <f ca="1">SUMIFS(PROGRAMASIMPLEMENTADOSPRESIDENCIA,PERIODOPRESIDENCIA,F1,MESAREPORTARPRESIDENCIA,K2)</f>
        <v>0</v>
      </c>
      <c r="L12" s="38">
        <f ca="1">SUMIFS(PROGRAMASIMPLEMENTADOSPRESIDENCIA,PERIODOPRESIDENCIA,F1,MESAREPORTARPRESIDENCIA,L2)</f>
        <v>0</v>
      </c>
      <c r="M12" s="38">
        <f ca="1">SUMIFS(PROGRAMASIMPLEMENTADOSPRESIDENCIA,PERIODOPRESIDENCIA,F1,MESAREPORTARPRESIDENCIA,M2)</f>
        <v>0</v>
      </c>
      <c r="N12" s="38">
        <f ca="1">SUMIFS(PROGRAMASIMPLEMENTADOSPRESIDENCIA,PERIODOPRESIDENCIA,F1,MESAREPORTARPRESIDENCIA,N2)</f>
        <v>0</v>
      </c>
      <c r="O12" s="38">
        <f ca="1">SUMIFS(PROGRAMASIMPLEMENTADOSPRESIDENCIA,PERIODOPRESIDENCIA,F1,MESAREPORTARPRESIDENCIA,O2)</f>
        <v>0</v>
      </c>
      <c r="P12" s="38">
        <f ca="1">SUMIFS(PROGRAMASIMPLEMENTADOSPRESIDENCIA,PERIODOPRESIDENCIA,F1,MESAREPORTARPRESIDENCIA,P2)</f>
        <v>0</v>
      </c>
      <c r="Q12" s="38">
        <f ca="1">SUMIFS(PROGRAMASIMPLEMENTADOSPRESIDENCIA,PERIODOPRESIDENCIA,F1,MESAREPORTARPRESIDENCIA,Q2)</f>
        <v>0</v>
      </c>
      <c r="R12" s="38">
        <f ca="1">SUMIFS(PROGRAMASIMPLEMENTADOSPRESIDENCIA,PERIODOPRESIDENCIA,F1,MESAREPORTARPRESIDENCIA,R2)</f>
        <v>0</v>
      </c>
      <c r="S12" s="38">
        <f ca="1">SUMIFS(PROGRAMASIMPLEMENTADOSPRESIDENCIA,PERIODOPRESIDENCIA,F1,MESAREPORTARPRESIDENCIA,S2)</f>
        <v>0</v>
      </c>
      <c r="T12" s="40">
        <f t="shared" ca="1" si="0"/>
        <v>0</v>
      </c>
    </row>
    <row r="13" spans="1:20" ht="34">
      <c r="A13" s="51"/>
      <c r="B13" s="37" t="s">
        <v>38</v>
      </c>
      <c r="C13" s="38">
        <v>66</v>
      </c>
      <c r="D13" s="8" t="s">
        <v>543</v>
      </c>
      <c r="E13" s="38" t="s">
        <v>286</v>
      </c>
      <c r="F13" s="8" t="s">
        <v>554</v>
      </c>
      <c r="G13" s="39">
        <f ca="1">((T13/C13)*EXT!A11)</f>
        <v>0</v>
      </c>
      <c r="H13" s="38">
        <f ca="1">SUMIFS(PERSONASBENEFICIADASPRESIDENCIA,PERIODOPRESIDENCIA,F1,MESAREPORTARPRESIDENCIA,H2)</f>
        <v>0</v>
      </c>
      <c r="I13" s="38">
        <f ca="1">SUMIFS(PERSONASBENEFICIADASPRESIDENCIA,PERIODOPRESIDENCIA,F1,MESAREPORTARPRESIDENCIA,I2)</f>
        <v>0</v>
      </c>
      <c r="J13" s="38">
        <f ca="1">SUMIFS(PERSONASBENEFICIADASPRESIDENCIA,PERIODOPRESIDENCIA,F1,MESAREPORTARPRESIDENCIA,J2)</f>
        <v>0</v>
      </c>
      <c r="K13" s="38">
        <f ca="1">SUMIFS(PERSONASBENEFICIADASPRESIDENCIA,PERIODOPRESIDENCIA,F1,MESAREPORTARPRESIDENCIA,K2)</f>
        <v>0</v>
      </c>
      <c r="L13" s="38">
        <f ca="1">SUMIFS(PERSONASBENEFICIADASPRESIDENCIA,PERIODOPRESIDENCIA,F1,MESAREPORTARPRESIDENCIA,L2)</f>
        <v>0</v>
      </c>
      <c r="M13" s="38">
        <f ca="1">SUMIFS(PERSONASBENEFICIADASPRESIDENCIA,PERIODOPRESIDENCIA,F1,MESAREPORTARPRESIDENCIA,M2)</f>
        <v>0</v>
      </c>
      <c r="N13" s="38">
        <f ca="1">SUMIFS(PERSONASBENEFICIADASPRESIDENCIA,PERIODOPRESIDENCIA,F1,MESAREPORTARPRESIDENCIA,N2)</f>
        <v>0</v>
      </c>
      <c r="O13" s="38">
        <f ca="1">SUMIFS(PERSONASBENEFICIADASPRESIDENCIA,PERIODOPRESIDENCIA,F1,MESAREPORTARPRESIDENCIA,O2)</f>
        <v>0</v>
      </c>
      <c r="P13" s="38">
        <f ca="1">SUMIFS(PERSONASBENEFICIADASPRESIDENCIA,PERIODOPRESIDENCIA,F1,MESAREPORTARPRESIDENCIA,P2)</f>
        <v>0</v>
      </c>
      <c r="Q13" s="38">
        <f ca="1">SUMIFS(PERSONASBENEFICIADASPRESIDENCIA,PERIODOPRESIDENCIA,F1,MESAREPORTARPRESIDENCIA,Q2)</f>
        <v>0</v>
      </c>
      <c r="R13" s="38">
        <f ca="1">SUMIFS(PERSONASBENEFICIADASPRESIDENCIA,PERIODOPRESIDENCIA,F1,MESAREPORTARPRESIDENCIA,R2)</f>
        <v>0</v>
      </c>
      <c r="S13" s="38">
        <f ca="1">SUMIFS(PERSONASBENEFICIADASPRESIDENCIA,PERIODOPRESIDENCIA,F1,MESAREPORTARPRESIDENCIA,S2)</f>
        <v>0</v>
      </c>
      <c r="T13" s="40">
        <f t="shared" ca="1" si="0"/>
        <v>0</v>
      </c>
    </row>
  </sheetData>
  <mergeCells count="8">
    <mergeCell ref="A7:A8"/>
    <mergeCell ref="A9:A11"/>
    <mergeCell ref="A12:A13"/>
    <mergeCell ref="B1:D1"/>
    <mergeCell ref="F1:G1"/>
    <mergeCell ref="H1:T1"/>
    <mergeCell ref="A3:A4"/>
    <mergeCell ref="A5: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16</vt:i4>
      </vt:variant>
    </vt:vector>
  </HeadingPairs>
  <TitlesOfParts>
    <vt:vector size="55" baseType="lpstr">
      <vt:lpstr>SMGR 24-25</vt:lpstr>
      <vt:lpstr>SMGR 25-26</vt:lpstr>
      <vt:lpstr>SMGR 26-27</vt:lpstr>
      <vt:lpstr>GRAF.PRESIDENCIA 24-25</vt:lpstr>
      <vt:lpstr>GRAF.PRESIDENCIA 25-26</vt:lpstr>
      <vt:lpstr>GRAF.PRESIDENCIA 26-27</vt:lpstr>
      <vt:lpstr>PRESIDENCIA 24-25</vt:lpstr>
      <vt:lpstr>PRESIDENCIA 25-26</vt:lpstr>
      <vt:lpstr>PRESIDENCIA 26-27</vt:lpstr>
      <vt:lpstr>EXT</vt:lpstr>
      <vt:lpstr>01</vt:lpstr>
      <vt:lpstr>02</vt:lpstr>
      <vt:lpstr>03</vt:lpstr>
      <vt:lpstr>BD PRESIDENCIA</vt:lpstr>
      <vt:lpstr>SIN1PERIODO</vt:lpstr>
      <vt:lpstr>SIN2PERIODO</vt:lpstr>
      <vt:lpstr>SECGEN1PERIODO</vt:lpstr>
      <vt:lpstr>SECGEN2PERIODO</vt:lpstr>
      <vt:lpstr>GAB1PERIODO</vt:lpstr>
      <vt:lpstr>GAB2PERIODO</vt:lpstr>
      <vt:lpstr>TESORERIA1PERIODO</vt:lpstr>
      <vt:lpstr>TESORERIA2PERIODO</vt:lpstr>
      <vt:lpstr>1PERIODOCONTRALORIA</vt:lpstr>
      <vt:lpstr>2PERIODOCONTRALORIA</vt:lpstr>
      <vt:lpstr>1ER PERIODOADMINISTRACION</vt:lpstr>
      <vt:lpstr>2ER PERIODOADMINISTRACION</vt:lpstr>
      <vt:lpstr>1ER PERIODO DESARROLLO ECONOMIC</vt:lpstr>
      <vt:lpstr>2DODESECO</vt:lpstr>
      <vt:lpstr>1ER PERIODO CONSTRUCCION DE LA </vt:lpstr>
      <vt:lpstr>2ER PERIODO CONSTRUCCION DE LA </vt:lpstr>
      <vt:lpstr>1ERA SERVICIOS GENERALES</vt:lpstr>
      <vt:lpstr>2ERA SERVICIOS GENERALES</vt:lpstr>
      <vt:lpstr>1RA SEGURIDAD PUBLICA</vt:lpstr>
      <vt:lpstr>2RA SEGURIDAD PUBLICA</vt:lpstr>
      <vt:lpstr>1RA GESTION DE LA CIUDAD</vt:lpstr>
      <vt:lpstr>2RA GESTION DE LA CIUDAD</vt:lpstr>
      <vt:lpstr>1RA PROTECCION CIVIL</vt:lpstr>
      <vt:lpstr>2RA PROTECCION CIVIL</vt:lpstr>
      <vt:lpstr>EXT (1)</vt:lpstr>
      <vt:lpstr>ACUERDOSPRESIDENCIA</vt:lpstr>
      <vt:lpstr>'SMGR 24-25'!Área_de_impresión</vt:lpstr>
      <vt:lpstr>CAPACITACIONESPRESIDENCIA</vt:lpstr>
      <vt:lpstr>CITASPRESIDENCIA</vt:lpstr>
      <vt:lpstr>DEPARTAMENTOPRESIDENCIA</vt:lpstr>
      <vt:lpstr>DISEÑOSPRESIDENCIA</vt:lpstr>
      <vt:lpstr>MESAREPORTARPRESIDENCIA</vt:lpstr>
      <vt:lpstr>NOTASPRESIDENCIA</vt:lpstr>
      <vt:lpstr>PERIODOPRESIDENCIA</vt:lpstr>
      <vt:lpstr>PERPRESIDENCIA</vt:lpstr>
      <vt:lpstr>PERSONASATENDIDASPRESIDENCIA</vt:lpstr>
      <vt:lpstr>PERSONASBENEFICIADASPRESIDENCIA</vt:lpstr>
      <vt:lpstr>PERSONASPRESIDENCIA</vt:lpstr>
      <vt:lpstr>PROGRAMASIMPLEMENTADOSPRESIDENCIA</vt:lpstr>
      <vt:lpstr>PUBLICACIONESPRESIDENCIA</vt:lpstr>
      <vt:lpstr>SOLICITUDESPRESIDENCIA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2025-03-10T18:51:26Z</dcterms:created>
  <dcterms:modified xsi:type="dcterms:W3CDTF">2026-03-02T19:58:51Z</dcterms:modified>
</cp:coreProperties>
</file>